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265" yWindow="2265" windowWidth="17280" windowHeight="8970" activeTab="1"/>
  </bookViews>
  <sheets>
    <sheet name="plaća" sheetId="1" r:id="rId1"/>
    <sheet name="PLAN S PROJEKCIJAMA" sheetId="4" r:id="rId2"/>
    <sheet name="PLAN" sheetId="2" r:id="rId3"/>
    <sheet name="bruto bilanca" sheetId="3" r:id="rId4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4"/>
  <c r="E78"/>
  <c r="C20"/>
  <c r="C32"/>
  <c r="C39"/>
  <c r="C45"/>
  <c r="C48"/>
  <c r="C49"/>
  <c r="C58"/>
  <c r="C59"/>
  <c r="C60"/>
  <c r="C61"/>
  <c r="C62"/>
  <c r="C68"/>
  <c r="C73"/>
  <c r="C12"/>
  <c r="C13"/>
  <c r="C7"/>
  <c r="D84" i="2"/>
  <c r="C84"/>
  <c r="E36"/>
  <c r="E35"/>
  <c r="E40"/>
  <c r="C40" i="4" s="1"/>
  <c r="E81" i="2"/>
  <c r="C76" i="4" s="1"/>
  <c r="E46" i="2"/>
  <c r="C46" i="4" s="1"/>
  <c r="E76" i="2"/>
  <c r="C72" i="4" s="1"/>
  <c r="E72" i="2"/>
  <c r="C70" i="4" s="1"/>
  <c r="E56" i="2"/>
  <c r="E71"/>
  <c r="C69" i="4" s="1"/>
  <c r="E68" i="2"/>
  <c r="E67"/>
  <c r="C66" i="4" s="1"/>
  <c r="F60" i="3"/>
  <c r="H60" s="1"/>
  <c r="E58" i="2"/>
  <c r="C57" i="4" s="1"/>
  <c r="E57" i="2"/>
  <c r="C56" i="4" s="1"/>
  <c r="E53" i="2"/>
  <c r="E52"/>
  <c r="C52" i="4" s="1"/>
  <c r="E51" i="2"/>
  <c r="E50"/>
  <c r="E44"/>
  <c r="E43"/>
  <c r="E42"/>
  <c r="E37"/>
  <c r="C38" i="4" s="1"/>
  <c r="E34" i="2"/>
  <c r="E29"/>
  <c r="C31" i="4" s="1"/>
  <c r="E26" i="2"/>
  <c r="E25"/>
  <c r="E24"/>
  <c r="E23"/>
  <c r="C25" i="4" s="1"/>
  <c r="E21" i="2"/>
  <c r="E20"/>
  <c r="C22" i="4" s="1"/>
  <c r="E17" i="2"/>
  <c r="C19" i="4" s="1"/>
  <c r="E16" i="2"/>
  <c r="E14" i="3"/>
  <c r="E13"/>
  <c r="E65"/>
  <c r="G68" s="1"/>
  <c r="E75"/>
  <c r="F75" s="1"/>
  <c r="E77"/>
  <c r="E73"/>
  <c r="E72"/>
  <c r="E71"/>
  <c r="E69"/>
  <c r="F70" s="1"/>
  <c r="E63"/>
  <c r="E62"/>
  <c r="E61"/>
  <c r="F62" s="1"/>
  <c r="E57"/>
  <c r="E56"/>
  <c r="E55"/>
  <c r="E54"/>
  <c r="E51"/>
  <c r="E50"/>
  <c r="E47"/>
  <c r="E46"/>
  <c r="E45"/>
  <c r="E44"/>
  <c r="E39"/>
  <c r="E38"/>
  <c r="E36"/>
  <c r="E33"/>
  <c r="E32"/>
  <c r="E31"/>
  <c r="E27"/>
  <c r="E26"/>
  <c r="E25"/>
  <c r="E24"/>
  <c r="E23"/>
  <c r="E22"/>
  <c r="E20"/>
  <c r="E19"/>
  <c r="E18"/>
  <c r="E15"/>
  <c r="E3"/>
  <c r="E4"/>
  <c r="E7" i="2"/>
  <c r="E12" s="1"/>
  <c r="E7" i="3"/>
  <c r="E5"/>
  <c r="E2"/>
  <c r="C19" i="1"/>
  <c r="C18"/>
  <c r="C17"/>
  <c r="C11"/>
  <c r="C10"/>
  <c r="C2"/>
  <c r="C14" s="1"/>
  <c r="C13"/>
  <c r="C12"/>
  <c r="C9"/>
  <c r="C8"/>
  <c r="C7"/>
  <c r="C6"/>
  <c r="C5"/>
  <c r="C4"/>
  <c r="C3"/>
  <c r="C78" i="4" l="1"/>
  <c r="E83" i="2"/>
  <c r="E84" i="3"/>
  <c r="C29" i="1"/>
  <c r="C31" s="1"/>
  <c r="F55" i="3"/>
  <c r="E14" i="4"/>
  <c r="C14"/>
  <c r="E84" i="2"/>
  <c r="E10" i="3"/>
  <c r="E79" i="4" l="1"/>
  <c r="C79"/>
  <c r="F84" i="3"/>
</calcChain>
</file>

<file path=xl/sharedStrings.xml><?xml version="1.0" encoding="utf-8"?>
<sst xmlns="http://schemas.openxmlformats.org/spreadsheetml/2006/main" count="539" uniqueCount="316">
  <si>
    <t>Mjesec</t>
  </si>
  <si>
    <t xml:space="preserve">Broj radnika </t>
  </si>
  <si>
    <t>Trošak plaće (TVP)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</si>
  <si>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</si>
  <si>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</si>
  <si>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</si>
  <si>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</si>
  <si>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</si>
  <si>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</si>
  <si>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</si>
  <si>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</si>
  <si>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</si>
  <si>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</si>
  <si>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</si>
  <si>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 (procijenjeno)</t>
  </si>
  <si>
    <t>UKUPNO trošak plaće</t>
  </si>
  <si>
    <t>Trošak bolovanja (TVP)</t>
  </si>
  <si>
    <t>PRIHODI</t>
  </si>
  <si>
    <t>Konto</t>
  </si>
  <si>
    <t xml:space="preserve">Opis </t>
  </si>
  <si>
    <t xml:space="preserve">                PLAN  2019.</t>
  </si>
  <si>
    <t xml:space="preserve">                ISPUNJENJE PLANA ZA 2019        </t>
  </si>
  <si>
    <t>Prihodi od usluga (održavanje fontane i dr.)</t>
  </si>
  <si>
    <t>Prihodi od kavana-ugostiteljstvo</t>
  </si>
  <si>
    <t>Prihodi od ulaznica</t>
  </si>
  <si>
    <t xml:space="preserve">Ostali poslovni prihodi </t>
  </si>
  <si>
    <t>Prihodi od Grada- škola plivanja</t>
  </si>
  <si>
    <t>Prihodi od naknadnih odobrenja- sniženja i popusta</t>
  </si>
  <si>
    <t>Prihodi od prodaje dugotrajne imovine</t>
  </si>
  <si>
    <t>UKUPNI PRIHODI</t>
  </si>
  <si>
    <t>RASHODI</t>
  </si>
  <si>
    <t>Opis</t>
  </si>
  <si>
    <t>PLAN 2019.</t>
  </si>
  <si>
    <t>IZMJENA PLANA ZA 2019.</t>
  </si>
  <si>
    <t>Materijal i roba za ugostiteljstvo</t>
  </si>
  <si>
    <t>Pomoćni materijal- wellnes</t>
  </si>
  <si>
    <t>Pomoćni materijal u ugostiteljstvu</t>
  </si>
  <si>
    <t>Materija za čišćenje i održavanje  (bazen)</t>
  </si>
  <si>
    <t>Radna obuća i odjeća</t>
  </si>
  <si>
    <t>Uredski potrošni materijal</t>
  </si>
  <si>
    <t>Materijal i sredstava za čišćenje i održavanje</t>
  </si>
  <si>
    <t>Trošak ukrasnog bilja</t>
  </si>
  <si>
    <t>Trošak ambalaže</t>
  </si>
  <si>
    <t>Ostali materijalni troškovi</t>
  </si>
  <si>
    <t>Troškovi otpisa sitnog inventara</t>
  </si>
  <si>
    <t>Potrošeni rezervni dijelovi za popravak vl. opreme</t>
  </si>
  <si>
    <t>Građevinski materijal i usluge</t>
  </si>
  <si>
    <t>Električna energija</t>
  </si>
  <si>
    <t>Benzin i gorivo za kosilicu</t>
  </si>
  <si>
    <t>Gorivo za dostavna vozila</t>
  </si>
  <si>
    <t>Plin, toplinska energija, briketi i dr.</t>
  </si>
  <si>
    <t>Telefon, Internet</t>
  </si>
  <si>
    <t>Poštanski troškovi i troškovi dostave</t>
  </si>
  <si>
    <t>Prijevoz tereta</t>
  </si>
  <si>
    <t>Troškovi dostave</t>
  </si>
  <si>
    <t>Koncesija za vodu</t>
  </si>
  <si>
    <t>Grafičke usluge</t>
  </si>
  <si>
    <t>Usluge tekućeg održavanja</t>
  </si>
  <si>
    <t>Usluge čišćenja i pranja</t>
  </si>
  <si>
    <t>Usluge održavanja softvera</t>
  </si>
  <si>
    <t>Usluge održavanja vatrogasnog sustava</t>
  </si>
  <si>
    <t>Usluga zaštite na radu</t>
  </si>
  <si>
    <t>Usluga zaštitarskih servisa</t>
  </si>
  <si>
    <t>Ostale servisne usluge i usluge osoba</t>
  </si>
  <si>
    <t>Troškovi registracije dostavnih vozila</t>
  </si>
  <si>
    <t>Najam opreme</t>
  </si>
  <si>
    <t>Troškovi promidžbe</t>
  </si>
  <si>
    <t>Troškovi honorara</t>
  </si>
  <si>
    <t>Usluge knjigovodstva</t>
  </si>
  <si>
    <t>Usluge revizije i procjene vrijednosti poduzeća</t>
  </si>
  <si>
    <t>Usluge odvjetnika, pravnika, javnih bilježnika</t>
  </si>
  <si>
    <t>Usluge ZAMP-a</t>
  </si>
  <si>
    <t>Odvoz smeća</t>
  </si>
  <si>
    <t>Voda i odvodnja</t>
  </si>
  <si>
    <t>Deratizacija i dezinsekcija</t>
  </si>
  <si>
    <t>Dimnjačarske usluge</t>
  </si>
  <si>
    <t>Ostale vanjske usluge (oglasi, javna nabava)</t>
  </si>
  <si>
    <t>Ukupan trošak za plaće</t>
  </si>
  <si>
    <t>Amortizacija</t>
  </si>
  <si>
    <t>Dnevnice</t>
  </si>
  <si>
    <t>Ostali troškovi na službenom putu</t>
  </si>
  <si>
    <t>Prigodne nagrade</t>
  </si>
  <si>
    <t>Reprezentacija</t>
  </si>
  <si>
    <t>Premije osiguranja imovine</t>
  </si>
  <si>
    <t>Premije osiguranja osoba</t>
  </si>
  <si>
    <t>Premije osiguranja dostavnih vozila</t>
  </si>
  <si>
    <t>Troškovi platnog prometa</t>
  </si>
  <si>
    <t>Troškovi HRT pretplate</t>
  </si>
  <si>
    <t>Troškovi izobrazbe zaposlenika</t>
  </si>
  <si>
    <t>Troškovi stručne literature i dr. glasila</t>
  </si>
  <si>
    <t>Sudski troškovi i pristojbe</t>
  </si>
  <si>
    <t>Troškovi zdravstvenih nadzora</t>
  </si>
  <si>
    <t>Troškovi liječničkog pregleda zaposlenika</t>
  </si>
  <si>
    <t>Kamate po predstečajnoj nagodbi</t>
  </si>
  <si>
    <t>Zatezne kamate</t>
  </si>
  <si>
    <t>Troškovi dopuštenih manjkova u ugostiteljstvu</t>
  </si>
  <si>
    <t>Troškovi javnih davanja (HGK, TZ i dr.)</t>
  </si>
  <si>
    <t>Ostali nepredviđeni troškovi</t>
  </si>
  <si>
    <t>UKUPNI TROŠKOVI</t>
  </si>
  <si>
    <t xml:space="preserve">DOBIT </t>
  </si>
  <si>
    <t>GRUPA</t>
  </si>
  <si>
    <t>KLASA</t>
  </si>
  <si>
    <t>KONTO</t>
  </si>
  <si>
    <t>NAZIV_KONTA</t>
  </si>
  <si>
    <t>POTRAZUJE2</t>
  </si>
  <si>
    <t>751</t>
  </si>
  <si>
    <t>7</t>
  </si>
  <si>
    <t>7510</t>
  </si>
  <si>
    <t>PRIHODI OD PRODAJE USLUGA</t>
  </si>
  <si>
    <t>7511</t>
  </si>
  <si>
    <t>PRIHODI OD RESTORANA</t>
  </si>
  <si>
    <t>7512</t>
  </si>
  <si>
    <t>OSTALI POSLOVNI PRIHODI</t>
  </si>
  <si>
    <t>771</t>
  </si>
  <si>
    <t>7710</t>
  </si>
  <si>
    <t>PRIHODI OD KAMATA</t>
  </si>
  <si>
    <t>7719</t>
  </si>
  <si>
    <t>PRIHODI OD OSTALIH PRIMITAKA BEZ NADOKNADE</t>
  </si>
  <si>
    <t>780</t>
  </si>
  <si>
    <t>7800</t>
  </si>
  <si>
    <t>PRIHODI OD OTPISA OBVEZA I POPUSTA</t>
  </si>
  <si>
    <t>781</t>
  </si>
  <si>
    <t>7812</t>
  </si>
  <si>
    <t>PRIHODI OD PRIZNAVANJA ULAGANJA  (GRAD DARUVAR)</t>
  </si>
  <si>
    <t>Prihodi od kamata po žiro računu i tečajnih razlika</t>
  </si>
  <si>
    <t>Prihodi od Grada Daruvara - subvencije i predstečajna nagodba</t>
  </si>
  <si>
    <t>DUGUJE2</t>
  </si>
  <si>
    <t>400</t>
  </si>
  <si>
    <t>4</t>
  </si>
  <si>
    <t>4002</t>
  </si>
  <si>
    <t>Pomoćni materijal-welnes</t>
  </si>
  <si>
    <t>4003</t>
  </si>
  <si>
    <t>POMOĆNI MATERIJAL</t>
  </si>
  <si>
    <t>4004</t>
  </si>
  <si>
    <t>POTROŠNI MATERIJAL ZA ODRŽAVANJE-BAZEN</t>
  </si>
  <si>
    <t>4005</t>
  </si>
  <si>
    <t>HTZ ZAŠTITA, RADNA OBUĆA I ODJEĆA</t>
  </si>
  <si>
    <t>401</t>
  </si>
  <si>
    <t>4010</t>
  </si>
  <si>
    <t>UREDSKI MATERIJAL</t>
  </si>
  <si>
    <t>4011</t>
  </si>
  <si>
    <t>Materijal i sredstva za čišćenje i održavanje</t>
  </si>
  <si>
    <t>40111</t>
  </si>
  <si>
    <t>Materijal i sredstva za čišćenje i odr. (ALCA)</t>
  </si>
  <si>
    <t>4012</t>
  </si>
  <si>
    <t>TROŠAK UKRASNOG BILJA</t>
  </si>
  <si>
    <t>4013</t>
  </si>
  <si>
    <t>TROŠAK AMBALAŽE</t>
  </si>
  <si>
    <t>4017</t>
  </si>
  <si>
    <t>OSTALI MATERIJALNI TROŠKOVI</t>
  </si>
  <si>
    <t>404</t>
  </si>
  <si>
    <t>4040</t>
  </si>
  <si>
    <t>TROŠKOVI OTPISA SITNOG INVENTARA</t>
  </si>
  <si>
    <t>405</t>
  </si>
  <si>
    <t>4050</t>
  </si>
  <si>
    <t>POTROŠENI REZERVNI DIJELOVI ZA POPRAVAK VL.OPREME</t>
  </si>
  <si>
    <t>406</t>
  </si>
  <si>
    <t>4060</t>
  </si>
  <si>
    <t>ELEKTRIČNA ENERGIJA</t>
  </si>
  <si>
    <t>4061</t>
  </si>
  <si>
    <t>POTROŠNJA PLINA</t>
  </si>
  <si>
    <t>4063</t>
  </si>
  <si>
    <t>TROŠAK GORIVA ZA TERETNA I DOSTAVNA VOZILA</t>
  </si>
  <si>
    <t>4064</t>
  </si>
  <si>
    <t>Trošak goriva za kosilicu i dr.troškovi</t>
  </si>
  <si>
    <t>407</t>
  </si>
  <si>
    <t>4071</t>
  </si>
  <si>
    <t>Plin, toplinska energija, briketi, drva</t>
  </si>
  <si>
    <t>410</t>
  </si>
  <si>
    <t>4100</t>
  </si>
  <si>
    <t>TROŠKOVI TELEFONA, INTERNETA I SL.</t>
  </si>
  <si>
    <t>41000</t>
  </si>
  <si>
    <t>Troškovi telefona- usluge u fiksnoj mreži</t>
  </si>
  <si>
    <t>4101</t>
  </si>
  <si>
    <t>POŠTANSKI TROŠKOVI</t>
  </si>
  <si>
    <t>4108</t>
  </si>
  <si>
    <t>TROŠKOVI DOSTAVE</t>
  </si>
  <si>
    <t>411</t>
  </si>
  <si>
    <t>4114</t>
  </si>
  <si>
    <t>GRAFIČKE USLUGE TISKA</t>
  </si>
  <si>
    <t>412</t>
  </si>
  <si>
    <t>4120</t>
  </si>
  <si>
    <t>NABAVLJENE USLUGE TEKUĆEG ODRŽAVANJA</t>
  </si>
  <si>
    <t>4121</t>
  </si>
  <si>
    <t>GRAĐEVINSKE USLUGE</t>
  </si>
  <si>
    <t>4122</t>
  </si>
  <si>
    <t>USLUGE PRANJA I ČIŠĆENJA</t>
  </si>
  <si>
    <t>4123</t>
  </si>
  <si>
    <t>USL.ODRŽAVANJA SOFTVERA I WEB STRANICA</t>
  </si>
  <si>
    <t>4124</t>
  </si>
  <si>
    <t>USLUGE ODRŽAVANJA VATROGASNOG SUSTAVA</t>
  </si>
  <si>
    <t>4128</t>
  </si>
  <si>
    <t>USLUGE ZAŠTITARA NA ČUVANJU IMOVINE I OSOBA</t>
  </si>
  <si>
    <t>4129</t>
  </si>
  <si>
    <t>413</t>
  </si>
  <si>
    <t>4132</t>
  </si>
  <si>
    <t>TROŠAK REGISTRACIJE DOSTAVNIH I TERETNIH VOZILA</t>
  </si>
  <si>
    <t>414</t>
  </si>
  <si>
    <t>4141</t>
  </si>
  <si>
    <t>ZAKUPNINA OPREME</t>
  </si>
  <si>
    <t>415</t>
  </si>
  <si>
    <t>4150</t>
  </si>
  <si>
    <t>TROŠKOVI PROMIDŽBE</t>
  </si>
  <si>
    <t>416</t>
  </si>
  <si>
    <t>4160</t>
  </si>
  <si>
    <t>TROŠKOVI DRUGOG DOHODKA</t>
  </si>
  <si>
    <t>4164</t>
  </si>
  <si>
    <t>KNJIGOVODSTVENE USLUGE</t>
  </si>
  <si>
    <t>4167</t>
  </si>
  <si>
    <t>ODVJETNIČKE I BILJEŽNIČKE USLUGE</t>
  </si>
  <si>
    <t>4169</t>
  </si>
  <si>
    <t>Usluge vještačenja, administrativne usluge (npr. prijep</t>
  </si>
  <si>
    <t>417</t>
  </si>
  <si>
    <t>4171</t>
  </si>
  <si>
    <t>4172</t>
  </si>
  <si>
    <t>4173</t>
  </si>
  <si>
    <t>NAKNADA ZA VODU-HRVATSKE VODE</t>
  </si>
  <si>
    <t>4176</t>
  </si>
  <si>
    <t>DERATIZACIJA I DEZINFEKCIJSKE USLUGE</t>
  </si>
  <si>
    <t>4177</t>
  </si>
  <si>
    <t>DIMNJAČARSKE I EKOLOŠKE USLUGE</t>
  </si>
  <si>
    <t>420</t>
  </si>
  <si>
    <t>4200</t>
  </si>
  <si>
    <t>TROŠAK NETO PLAĆE</t>
  </si>
  <si>
    <t>421</t>
  </si>
  <si>
    <t>4210</t>
  </si>
  <si>
    <t>POREZ, PRIREZ I DOPRINOSI IZ PLAĆE</t>
  </si>
  <si>
    <t>422</t>
  </si>
  <si>
    <t>4220</t>
  </si>
  <si>
    <t>DOPRINOSI NA PLAĆU</t>
  </si>
  <si>
    <t>431</t>
  </si>
  <si>
    <t>4310</t>
  </si>
  <si>
    <t>TROŠKOVI AMORTIZACIJE</t>
  </si>
  <si>
    <t>461</t>
  </si>
  <si>
    <t>4615</t>
  </si>
  <si>
    <t>Prigodne nagrade (božićnice, uskrsnice), dar u naravi d</t>
  </si>
  <si>
    <t>46150</t>
  </si>
  <si>
    <t>Nagrada za radne rezultate</t>
  </si>
  <si>
    <t>463</t>
  </si>
  <si>
    <t>4631</t>
  </si>
  <si>
    <t>50% TROŠKOVA REPREZENTACIJE (VLASTITIH)</t>
  </si>
  <si>
    <t>4633</t>
  </si>
  <si>
    <t>464</t>
  </si>
  <si>
    <t>4640</t>
  </si>
  <si>
    <t>PREMIJA OSIGURANJA</t>
  </si>
  <si>
    <t>4641</t>
  </si>
  <si>
    <t>PREMIJA OSIGURANJA VOZILA</t>
  </si>
  <si>
    <t>465</t>
  </si>
  <si>
    <t>4650</t>
  </si>
  <si>
    <t>BANKOVNI TROŠKOVI</t>
  </si>
  <si>
    <t>4651</t>
  </si>
  <si>
    <t>TROŠKOVI FINE</t>
  </si>
  <si>
    <t>4652</t>
  </si>
  <si>
    <t>TROŠKOVI PROVIZIJE PRI KUPNJI DEVIZA</t>
  </si>
  <si>
    <t>4653</t>
  </si>
  <si>
    <t>TROŠKOVI PROVIZIJA IZDAVATELJA KREDITNIH KARTICA</t>
  </si>
  <si>
    <t>467</t>
  </si>
  <si>
    <t>4678</t>
  </si>
  <si>
    <t>POREZ NA POTROŠNJU</t>
  </si>
  <si>
    <t>4679</t>
  </si>
  <si>
    <t>OSTALI POREZI I PRISTOJBE</t>
  </si>
  <si>
    <t>468</t>
  </si>
  <si>
    <t>4680</t>
  </si>
  <si>
    <t>TROŠKOVI KONCESIJA-ZAMP</t>
  </si>
  <si>
    <t>4684</t>
  </si>
  <si>
    <t>TROŠAK HRT PRETPLATE</t>
  </si>
  <si>
    <t>4685</t>
  </si>
  <si>
    <t>Troškovi licenciranih prava i certifikati</t>
  </si>
  <si>
    <t>469</t>
  </si>
  <si>
    <t>4692</t>
  </si>
  <si>
    <t>TROŠAK SLUŽBENIH GLASILA</t>
  </si>
  <si>
    <t>4694</t>
  </si>
  <si>
    <t>TROŠKOVI ZDRAVSTVENOG NADZORA VODE</t>
  </si>
  <si>
    <t>4696</t>
  </si>
  <si>
    <t>Troškovi obveznih liječničkih pregleda</t>
  </si>
  <si>
    <t>4699</t>
  </si>
  <si>
    <t>TROŠKOVI VOĐENJA ZAŠTITE NA RADU</t>
  </si>
  <si>
    <t>473</t>
  </si>
  <si>
    <t>4731</t>
  </si>
  <si>
    <t>KAMATA PO PREDSTEČAJNOJ NAGODBI</t>
  </si>
  <si>
    <t>474</t>
  </si>
  <si>
    <t>4740</t>
  </si>
  <si>
    <t>ZATEZNA KAMATA</t>
  </si>
  <si>
    <t>475</t>
  </si>
  <si>
    <t>4750</t>
  </si>
  <si>
    <t>TEČAJNE RAZLIKE</t>
  </si>
  <si>
    <t>4754</t>
  </si>
  <si>
    <t>Negativne tečajne razlike nastale na stanjima deviznog</t>
  </si>
  <si>
    <t>481</t>
  </si>
  <si>
    <t>4810</t>
  </si>
  <si>
    <t>OTPISI</t>
  </si>
  <si>
    <t>Osnovni matrijal</t>
  </si>
  <si>
    <t>ukupno</t>
  </si>
  <si>
    <t>mobilna</t>
  </si>
  <si>
    <t>febus</t>
  </si>
  <si>
    <t>ostali nepredviđeni tr.</t>
  </si>
  <si>
    <t>+</t>
  </si>
  <si>
    <t>Potrošnja plina</t>
  </si>
  <si>
    <t>fiksnas internetom</t>
  </si>
  <si>
    <t>Tomsoft-ugovor</t>
  </si>
  <si>
    <t xml:space="preserve">                IZMJENA PLANA ZA 2019.</t>
  </si>
  <si>
    <t xml:space="preserve">ISPUNJENJE PLANA ZA 2019.       </t>
  </si>
  <si>
    <t>PLAN ZA 2020. GODINU</t>
  </si>
  <si>
    <t>TERMALNI VODENI PARK AQUAE BALISSAE D.O.O.</t>
  </si>
  <si>
    <t>Prihodi od Grada Daruvara - subvencije i kapitalne pomoći</t>
  </si>
  <si>
    <t>Građevinski radovi  i usluge</t>
  </si>
  <si>
    <t>Tomsoft (licenca za programa rada kasa)</t>
  </si>
  <si>
    <t>Fiksni telefon i Internet</t>
  </si>
  <si>
    <t>Mobilni telefon</t>
  </si>
  <si>
    <t>KLASA:400-02/19-01/02</t>
  </si>
  <si>
    <t>IZMJENE PLANA ZA 2020.GOD.</t>
  </si>
  <si>
    <t xml:space="preserve"> NOVI PLAN  ZA 2020. GODINU</t>
  </si>
  <si>
    <t>NOVI PLAN ZA 2020. GODINU</t>
  </si>
  <si>
    <t>UR.BR. :2111/45-03-20-01</t>
  </si>
  <si>
    <t>DARUVAR, 09.03.2020</t>
  </si>
  <si>
    <t xml:space="preserve"> I. izmjena financijskog plana za 2020.g.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</si>
</sst>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262626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" fontId="0" fillId="0" borderId="0" xfId="0" applyNumberForma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center"/>
    </xf>
    <xf numFmtId="0" fontId="8" fillId="0" borderId="0" xfId="0" applyFont="1"/>
    <xf numFmtId="0" fontId="5" fillId="0" borderId="1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3" fontId="0" fillId="0" borderId="0" xfId="0" applyNumberFormat="1"/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 wrapText="1"/>
    </xf>
    <xf numFmtId="0" fontId="0" fillId="0" borderId="0" xfId="0" quotePrefix="1" applyNumberFormat="1"/>
    <xf numFmtId="3" fontId="0" fillId="0" borderId="0" xfId="0" quotePrefix="1" applyNumberFormat="1"/>
    <xf numFmtId="0" fontId="0" fillId="0" borderId="0" xfId="0" applyNumberFormat="1"/>
    <xf numFmtId="0" fontId="1" fillId="0" borderId="0" xfId="0" applyNumberFormat="1" applyFont="1"/>
    <xf numFmtId="3" fontId="1" fillId="0" borderId="0" xfId="0" applyNumberFormat="1" applyFont="1"/>
    <xf numFmtId="3" fontId="1" fillId="0" borderId="0" xfId="0" quotePrefix="1" applyNumberFormat="1" applyFont="1"/>
    <xf numFmtId="0" fontId="0" fillId="0" borderId="0" xfId="0" quotePrefix="1" applyNumberFormat="1" applyAlignment="1">
      <alignment horizontal="left"/>
    </xf>
    <xf numFmtId="3" fontId="11" fillId="0" borderId="0" xfId="0" quotePrefix="1" applyNumberFormat="1" applyFont="1"/>
    <xf numFmtId="3" fontId="12" fillId="0" borderId="0" xfId="0" quotePrefix="1" applyNumberFormat="1" applyFont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right" vertical="center"/>
    </xf>
    <xf numFmtId="3" fontId="2" fillId="0" borderId="1" xfId="0" quotePrefix="1" applyNumberFormat="1" applyFont="1" applyBorder="1" applyAlignment="1">
      <alignment horizontal="right"/>
    </xf>
    <xf numFmtId="0" fontId="14" fillId="0" borderId="15" xfId="0" applyFont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3" fontId="15" fillId="3" borderId="4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2" fillId="0" borderId="3" xfId="0" quotePrefix="1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 vertical="center"/>
    </xf>
    <xf numFmtId="3" fontId="17" fillId="3" borderId="3" xfId="0" applyNumberFormat="1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4" fontId="14" fillId="2" borderId="17" xfId="0" applyNumberFormat="1" applyFont="1" applyFill="1" applyBorder="1" applyAlignment="1">
      <alignment horizontal="right" vertical="center"/>
    </xf>
    <xf numFmtId="4" fontId="14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/>
    </xf>
    <xf numFmtId="0" fontId="2" fillId="0" borderId="8" xfId="0" applyFont="1" applyBorder="1"/>
    <xf numFmtId="0" fontId="2" fillId="0" borderId="23" xfId="0" applyFont="1" applyBorder="1"/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5" fillId="5" borderId="12" xfId="0" applyFont="1" applyFill="1" applyBorder="1" applyAlignment="1">
      <alignment horizontal="right" vertical="center"/>
    </xf>
    <xf numFmtId="3" fontId="5" fillId="5" borderId="1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12" xfId="0" applyFont="1" applyBorder="1"/>
    <xf numFmtId="0" fontId="0" fillId="0" borderId="12" xfId="0" applyBorder="1"/>
    <xf numFmtId="0" fontId="5" fillId="0" borderId="1" xfId="0" applyFont="1" applyBorder="1" applyAlignment="1">
      <alignment horizontal="right" vertical="center"/>
    </xf>
    <xf numFmtId="0" fontId="0" fillId="0" borderId="24" xfId="0" applyBorder="1"/>
    <xf numFmtId="0" fontId="2" fillId="0" borderId="12" xfId="0" applyFont="1" applyBorder="1" applyAlignment="1">
      <alignment horizontal="right"/>
    </xf>
    <xf numFmtId="0" fontId="5" fillId="5" borderId="24" xfId="0" applyFont="1" applyFill="1" applyBorder="1" applyAlignment="1">
      <alignment horizontal="right" vertical="center"/>
    </xf>
    <xf numFmtId="0" fontId="0" fillId="0" borderId="17" xfId="0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18" fillId="5" borderId="1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/>
    </xf>
    <xf numFmtId="3" fontId="20" fillId="5" borderId="1" xfId="0" applyNumberFormat="1" applyFont="1" applyFill="1" applyBorder="1" applyAlignment="1">
      <alignment horizontal="right"/>
    </xf>
    <xf numFmtId="4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quotePrefix="1" applyNumberFormat="1" applyFont="1" applyBorder="1" applyAlignment="1">
      <alignment horizontal="center" vertical="center"/>
    </xf>
    <xf numFmtId="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Border="1"/>
    <xf numFmtId="3" fontId="2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21" sqref="H21:J27"/>
    </sheetView>
  </sheetViews>
  <sheetFormatPr defaultRowHeight="15"/>
  <cols>
    <col min="1" max="1" width="23.7109375" customWidth="1"/>
    <col min="2" max="2" width="16.28515625" customWidth="1"/>
    <col min="3" max="3" width="14.28515625" customWidth="1"/>
    <col min="4" max="4" width="11.5703125" bestFit="1" customWidth="1"/>
    <col min="6" max="6" width="11.5703125" bestFit="1" customWidth="1"/>
  </cols>
  <sheetData>
    <row r="1" spans="1:6" ht="24.75" thickBot="1">
      <c r="A1" s="2" t="s">
        <v>0</v>
      </c>
      <c r="B1" s="3" t="s">
        <v>1</v>
      </c>
      <c r="C1" s="4" t="s">
        <v>2</v>
      </c>
    </row>
    <row r="2" spans="1:6" ht="15.75" thickBot="1">
      <c r="A2" s="5" t="s">
        <v>3</v>
      </c>
      <c r="B2" s="6">
        <v>18</v>
      </c>
      <c r="C2" s="7">
        <f>69606.62+11485.08+2857.1+491.43</f>
        <v>84440.23</v>
      </c>
    </row>
    <row r="3" spans="1:6" ht="15.75" thickBot="1">
      <c r="A3" s="5" t="s">
        <v>4</v>
      </c>
      <c r="B3" s="6">
        <v>18</v>
      </c>
      <c r="C3" s="7">
        <f>72412.27+11948.04</f>
        <v>84360.31</v>
      </c>
      <c r="F3" s="1"/>
    </row>
    <row r="4" spans="1:6" ht="15.75" thickBot="1">
      <c r="A4" s="5" t="s">
        <v>5</v>
      </c>
      <c r="B4" s="6">
        <v>20</v>
      </c>
      <c r="C4" s="7">
        <f>74666.57+12319.97</f>
        <v>86986.540000000008</v>
      </c>
    </row>
    <row r="5" spans="1:6" ht="15.75" thickBot="1">
      <c r="A5" s="5" t="s">
        <v>6</v>
      </c>
      <c r="B5" s="6">
        <v>20</v>
      </c>
      <c r="C5" s="7">
        <f>76996.09+12704.35</f>
        <v>89700.44</v>
      </c>
      <c r="F5" s="1"/>
    </row>
    <row r="6" spans="1:6" ht="15.75" thickBot="1">
      <c r="A6" s="5" t="s">
        <v>7</v>
      </c>
      <c r="B6" s="6">
        <v>32</v>
      </c>
      <c r="C6" s="7">
        <f>110939.96+18305.05</f>
        <v>129245.01000000001</v>
      </c>
    </row>
    <row r="7" spans="1:6" ht="15.75" thickBot="1">
      <c r="A7" s="5" t="s">
        <v>8</v>
      </c>
      <c r="B7" s="6">
        <v>31</v>
      </c>
      <c r="C7" s="7">
        <f>136136+22462.43</f>
        <v>158598.43</v>
      </c>
    </row>
    <row r="8" spans="1:6" ht="15.75" thickBot="1">
      <c r="A8" s="5" t="s">
        <v>9</v>
      </c>
      <c r="B8" s="6">
        <v>30</v>
      </c>
      <c r="C8" s="7">
        <f>139566.98+23028.58</f>
        <v>162595.56</v>
      </c>
    </row>
    <row r="9" spans="1:6" ht="15.75" thickBot="1">
      <c r="A9" s="5" t="s">
        <v>10</v>
      </c>
      <c r="B9" s="6">
        <v>26</v>
      </c>
      <c r="C9" s="7">
        <f>128512.76+21204.61</f>
        <v>149717.37</v>
      </c>
    </row>
    <row r="10" spans="1:6" ht="15.75" thickBot="1">
      <c r="A10" s="5" t="s">
        <v>11</v>
      </c>
      <c r="B10" s="6">
        <v>25</v>
      </c>
      <c r="C10" s="7">
        <f>96188.62+15871.12+6682.61+1102.63</f>
        <v>119844.98</v>
      </c>
    </row>
    <row r="11" spans="1:6" ht="15.75" thickBot="1">
      <c r="A11" s="5" t="s">
        <v>12</v>
      </c>
      <c r="B11" s="6">
        <v>18</v>
      </c>
      <c r="C11" s="7">
        <f>78054.25+12878.96+4549.69+750.7</f>
        <v>96233.599999999991</v>
      </c>
    </row>
    <row r="12" spans="1:6" ht="15.75" thickBot="1">
      <c r="A12" s="5" t="s">
        <v>13</v>
      </c>
      <c r="B12" s="6">
        <v>18</v>
      </c>
      <c r="C12" s="7">
        <f>77130.01+12726.43</f>
        <v>89856.44</v>
      </c>
    </row>
    <row r="13" spans="1:6" ht="15.75" thickBot="1">
      <c r="A13" s="5" t="s">
        <v>14</v>
      </c>
      <c r="B13" s="6">
        <v>18</v>
      </c>
      <c r="C13" s="7">
        <f>77130.01+12726.43</f>
        <v>89856.44</v>
      </c>
    </row>
    <row r="14" spans="1:6" ht="15.75" thickBot="1">
      <c r="A14" s="8" t="s">
        <v>15</v>
      </c>
      <c r="B14" s="9"/>
      <c r="C14" s="10">
        <f>SUM(C2:C13)</f>
        <v>1341435.3500000001</v>
      </c>
      <c r="D14" s="1"/>
    </row>
    <row r="15" spans="1:6" ht="15.75" thickBot="1">
      <c r="A15" s="11"/>
      <c r="B15" s="11"/>
      <c r="C15" s="11"/>
    </row>
    <row r="16" spans="1:6" ht="24.75" thickBot="1">
      <c r="A16" s="2" t="s">
        <v>0</v>
      </c>
      <c r="B16" s="3" t="s">
        <v>1</v>
      </c>
      <c r="C16" s="4" t="s">
        <v>16</v>
      </c>
    </row>
    <row r="17" spans="1:3" ht="15.75" thickBot="1">
      <c r="A17" s="5" t="s">
        <v>3</v>
      </c>
      <c r="B17" s="6">
        <v>2</v>
      </c>
      <c r="C17" s="7">
        <f>2574.16+1727.76</f>
        <v>4301.92</v>
      </c>
    </row>
    <row r="18" spans="1:3" ht="15.75" thickBot="1">
      <c r="A18" s="5" t="s">
        <v>4</v>
      </c>
      <c r="B18" s="6">
        <v>2</v>
      </c>
      <c r="C18" s="7">
        <f>2238.4+1502.4</f>
        <v>3740.8</v>
      </c>
    </row>
    <row r="19" spans="1:3" ht="15.75" thickBot="1">
      <c r="A19" s="5" t="s">
        <v>5</v>
      </c>
      <c r="B19" s="6">
        <v>1</v>
      </c>
      <c r="C19" s="7">
        <f>1231.12+1577.52</f>
        <v>2808.64</v>
      </c>
    </row>
    <row r="20" spans="1:3" ht="15.75" thickBot="1">
      <c r="A20" s="5" t="s">
        <v>6</v>
      </c>
      <c r="B20" s="6">
        <v>1</v>
      </c>
      <c r="C20" s="7">
        <v>1652.64</v>
      </c>
    </row>
    <row r="21" spans="1:3" ht="15.75" thickBot="1">
      <c r="A21" s="5" t="s">
        <v>7</v>
      </c>
      <c r="B21" s="6">
        <v>1</v>
      </c>
      <c r="C21" s="7">
        <v>1727.76</v>
      </c>
    </row>
    <row r="22" spans="1:3" ht="15.75" thickBot="1">
      <c r="A22" s="5" t="s">
        <v>8</v>
      </c>
      <c r="B22" s="6">
        <v>1</v>
      </c>
      <c r="C22" s="7">
        <v>1502.4</v>
      </c>
    </row>
    <row r="23" spans="1:3" ht="15.75" thickBot="1">
      <c r="A23" s="5" t="s">
        <v>9</v>
      </c>
      <c r="B23" s="6">
        <v>1</v>
      </c>
      <c r="C23" s="7">
        <v>1727.76</v>
      </c>
    </row>
    <row r="24" spans="1:3" ht="15.75" thickBot="1">
      <c r="A24" s="5" t="s">
        <v>10</v>
      </c>
      <c r="B24" s="6">
        <v>1</v>
      </c>
      <c r="C24" s="7">
        <v>1652.64</v>
      </c>
    </row>
    <row r="25" spans="1:3" ht="15.75" thickBot="1">
      <c r="A25" s="5" t="s">
        <v>11</v>
      </c>
      <c r="B25" s="6">
        <v>1</v>
      </c>
      <c r="C25" s="7">
        <v>1577.52</v>
      </c>
    </row>
    <row r="26" spans="1:3" ht="15.75" thickBot="1">
      <c r="A26" s="5" t="s">
        <v>12</v>
      </c>
      <c r="B26" s="6">
        <v>1</v>
      </c>
      <c r="C26" s="7">
        <v>1727.76</v>
      </c>
    </row>
    <row r="27" spans="1:3" ht="15.75" thickBot="1">
      <c r="A27" s="5" t="s">
        <v>13</v>
      </c>
      <c r="B27" s="6">
        <v>1</v>
      </c>
      <c r="C27" s="7">
        <v>1727.76</v>
      </c>
    </row>
    <row r="28" spans="1:3" ht="15.75" thickBot="1">
      <c r="A28" s="5" t="s">
        <v>14</v>
      </c>
      <c r="B28" s="6">
        <v>1</v>
      </c>
      <c r="C28" s="7">
        <v>1727.76</v>
      </c>
    </row>
    <row r="29" spans="1:3" ht="15.75" thickBot="1">
      <c r="A29" s="8" t="s">
        <v>15</v>
      </c>
      <c r="B29" s="6">
        <v>1</v>
      </c>
      <c r="C29" s="10">
        <f>SUM(C17:C28)</f>
        <v>25875.359999999993</v>
      </c>
    </row>
    <row r="31" spans="1:3">
      <c r="C31" s="1">
        <f>C14+C29</f>
        <v>1367310.7100000002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>
      <selection activeCell="N23" sqref="N23"/>
    </sheetView>
  </sheetViews>
  <sheetFormatPr defaultRowHeight="15"/>
  <cols>
    <col min="1" max="1" width="7.28515625" customWidth="1"/>
    <col min="2" max="2" width="51.140625" customWidth="1"/>
    <col min="3" max="3" width="12.140625" customWidth="1"/>
    <col min="4" max="4" width="10.42578125" customWidth="1"/>
    <col min="5" max="5" width="12.7109375" customWidth="1"/>
    <col min="10" max="10" width="10.140625" customWidth="1"/>
  </cols>
  <sheetData>
    <row r="1" spans="1:10">
      <c r="A1" t="s">
        <v>303</v>
      </c>
    </row>
    <row r="2" spans="1:10">
      <c r="A2" s="88" t="s">
        <v>309</v>
      </c>
      <c r="B2" s="95"/>
    </row>
    <row r="3" spans="1:10">
      <c r="A3" t="s">
        <v>313</v>
      </c>
    </row>
    <row r="4" spans="1:10">
      <c r="A4" t="s">
        <v>314</v>
      </c>
      <c r="H4" s="95"/>
    </row>
    <row r="5" spans="1:10" ht="15.75" thickBot="1">
      <c r="A5" s="83"/>
      <c r="B5" s="82" t="s">
        <v>315</v>
      </c>
      <c r="C5" s="83"/>
      <c r="D5" s="83"/>
      <c r="E5" s="83"/>
      <c r="G5" s="95"/>
    </row>
    <row r="6" spans="1:10" ht="39" thickBot="1">
      <c r="A6" s="84" t="s">
        <v>18</v>
      </c>
      <c r="B6" s="81" t="s">
        <v>19</v>
      </c>
      <c r="C6" s="90" t="s">
        <v>302</v>
      </c>
      <c r="D6" s="90" t="s">
        <v>310</v>
      </c>
      <c r="E6" s="90" t="s">
        <v>311</v>
      </c>
      <c r="F6" s="88"/>
      <c r="G6" s="95"/>
    </row>
    <row r="7" spans="1:10" ht="15.75" thickBot="1">
      <c r="A7" s="13">
        <v>7510</v>
      </c>
      <c r="B7" s="74" t="s">
        <v>22</v>
      </c>
      <c r="C7" s="76">
        <f>(PLAN!E3*2%)+PLAN!E3</f>
        <v>1432.08</v>
      </c>
      <c r="D7" s="76"/>
      <c r="E7" s="76">
        <v>1432</v>
      </c>
    </row>
    <row r="8" spans="1:10" ht="15.75" thickBot="1">
      <c r="A8" s="13">
        <v>7511</v>
      </c>
      <c r="B8" s="74" t="s">
        <v>23</v>
      </c>
      <c r="C8" s="76">
        <v>1497187</v>
      </c>
      <c r="D8" s="76">
        <v>56974</v>
      </c>
      <c r="E8" s="76">
        <v>1554161</v>
      </c>
    </row>
    <row r="9" spans="1:10" ht="15.75" thickBot="1">
      <c r="A9" s="13">
        <v>7570</v>
      </c>
      <c r="B9" s="74" t="s">
        <v>24</v>
      </c>
      <c r="C9" s="76">
        <v>2149000</v>
      </c>
      <c r="D9" s="76">
        <v>54096</v>
      </c>
      <c r="E9" s="76">
        <v>2203096</v>
      </c>
    </row>
    <row r="10" spans="1:10" ht="15.75" thickBot="1">
      <c r="A10" s="13">
        <v>7837</v>
      </c>
      <c r="B10" s="74" t="s">
        <v>304</v>
      </c>
      <c r="C10" s="76">
        <v>200000</v>
      </c>
      <c r="D10" s="76"/>
      <c r="E10" s="76">
        <v>200000</v>
      </c>
    </row>
    <row r="11" spans="1:10" ht="15.75" thickBot="1">
      <c r="A11" s="13">
        <v>7838</v>
      </c>
      <c r="B11" s="74" t="s">
        <v>26</v>
      </c>
      <c r="C11" s="76">
        <v>25000</v>
      </c>
      <c r="D11" s="76"/>
      <c r="E11" s="76">
        <v>25000</v>
      </c>
    </row>
    <row r="12" spans="1:10" ht="15.75" thickBot="1">
      <c r="A12" s="13">
        <v>7710</v>
      </c>
      <c r="B12" s="74" t="s">
        <v>124</v>
      </c>
      <c r="C12" s="76">
        <f>(PLAN!E9*2%)+PLAN!E9</f>
        <v>6079.2</v>
      </c>
      <c r="D12" s="76"/>
      <c r="E12" s="76">
        <v>6079</v>
      </c>
    </row>
    <row r="13" spans="1:10" ht="15.75" thickBot="1">
      <c r="A13" s="49">
        <v>7807</v>
      </c>
      <c r="B13" s="74" t="s">
        <v>27</v>
      </c>
      <c r="C13" s="76">
        <f>(PLAN!E10*2%)+PLAN!E10</f>
        <v>4187.1000000000004</v>
      </c>
      <c r="D13" s="76"/>
      <c r="E13" s="76">
        <v>4187</v>
      </c>
      <c r="H13" s="77"/>
    </row>
    <row r="14" spans="1:10" ht="15.75" thickBot="1">
      <c r="A14" s="87"/>
      <c r="B14" s="79" t="s">
        <v>29</v>
      </c>
      <c r="C14" s="80">
        <f>SUM(C7:C13)</f>
        <v>3882885.3800000004</v>
      </c>
      <c r="D14" s="80">
        <v>111070</v>
      </c>
      <c r="E14" s="80">
        <f>SUM(E7:E13)</f>
        <v>3993955</v>
      </c>
      <c r="I14" s="95"/>
      <c r="J14" s="95"/>
    </row>
    <row r="15" spans="1:10" ht="15.75" thickBot="1">
      <c r="A15" s="86"/>
      <c r="B15" s="85"/>
      <c r="C15" s="85"/>
      <c r="D15" s="85"/>
      <c r="E15" s="85"/>
      <c r="H15" s="95"/>
      <c r="I15" s="101"/>
    </row>
    <row r="16" spans="1:10" ht="39.75" thickBot="1">
      <c r="A16" s="84" t="s">
        <v>18</v>
      </c>
      <c r="B16" s="94" t="s">
        <v>31</v>
      </c>
      <c r="C16" s="93" t="s">
        <v>302</v>
      </c>
      <c r="D16" s="90" t="s">
        <v>310</v>
      </c>
      <c r="E16" s="89" t="s">
        <v>312</v>
      </c>
      <c r="I16" s="100"/>
    </row>
    <row r="17" spans="1:10" ht="15.75" thickBot="1">
      <c r="A17" s="13">
        <v>4000</v>
      </c>
      <c r="B17" s="75" t="s">
        <v>34</v>
      </c>
      <c r="C17" s="76">
        <v>514597.49</v>
      </c>
      <c r="D17" s="104">
        <v>2879</v>
      </c>
      <c r="E17" s="76">
        <v>517476</v>
      </c>
      <c r="I17" s="14"/>
    </row>
    <row r="18" spans="1:10" ht="15.75" thickBot="1">
      <c r="A18" s="13">
        <v>4002</v>
      </c>
      <c r="B18" s="75" t="s">
        <v>35</v>
      </c>
      <c r="C18" s="76">
        <v>8500</v>
      </c>
      <c r="D18" s="76"/>
      <c r="E18" s="76">
        <v>8500</v>
      </c>
      <c r="J18" s="95"/>
    </row>
    <row r="19" spans="1:10" ht="15.75" thickBot="1">
      <c r="A19" s="13">
        <v>4003</v>
      </c>
      <c r="B19" s="75" t="s">
        <v>36</v>
      </c>
      <c r="C19" s="76">
        <f>(PLAN!E17*4%)+PLAN!E17</f>
        <v>17356.82</v>
      </c>
      <c r="D19" s="76"/>
      <c r="E19" s="76">
        <v>17357</v>
      </c>
      <c r="I19" s="95"/>
      <c r="J19" s="102"/>
    </row>
    <row r="20" spans="1:10" ht="15.75" thickBot="1">
      <c r="A20" s="13">
        <v>4004</v>
      </c>
      <c r="B20" s="75" t="s">
        <v>37</v>
      </c>
      <c r="C20" s="76">
        <f>(PLAN!E18*4%)+PLAN!E18</f>
        <v>50309.48</v>
      </c>
      <c r="D20" s="76"/>
      <c r="E20" s="76">
        <v>50309</v>
      </c>
      <c r="J20" s="103"/>
    </row>
    <row r="21" spans="1:10" ht="15.75" thickBot="1">
      <c r="A21" s="13">
        <v>4005</v>
      </c>
      <c r="B21" s="75" t="s">
        <v>38</v>
      </c>
      <c r="C21" s="76">
        <v>1500</v>
      </c>
      <c r="D21" s="76"/>
      <c r="E21" s="76">
        <v>1500</v>
      </c>
      <c r="I21" s="95"/>
      <c r="J21" s="101"/>
    </row>
    <row r="22" spans="1:10" ht="15.75" thickBot="1">
      <c r="A22" s="13">
        <v>4010</v>
      </c>
      <c r="B22" s="75" t="s">
        <v>39</v>
      </c>
      <c r="C22" s="76">
        <f>(PLAN!E20*4%)+PLAN!E20</f>
        <v>5842.1376</v>
      </c>
      <c r="D22" s="76"/>
      <c r="E22" s="76">
        <v>5842</v>
      </c>
      <c r="J22" s="1"/>
    </row>
    <row r="23" spans="1:10" ht="15.75" thickBot="1">
      <c r="A23" s="13">
        <v>4011</v>
      </c>
      <c r="B23" s="75" t="s">
        <v>40</v>
      </c>
      <c r="C23" s="76">
        <v>69818.759999999995</v>
      </c>
      <c r="D23" s="76"/>
      <c r="E23" s="76">
        <v>69818.759999999995</v>
      </c>
    </row>
    <row r="24" spans="1:10" ht="15.75" thickBot="1">
      <c r="A24" s="13">
        <v>4012</v>
      </c>
      <c r="B24" s="75" t="s">
        <v>41</v>
      </c>
      <c r="C24" s="76">
        <v>500</v>
      </c>
      <c r="D24" s="76"/>
      <c r="E24" s="76">
        <v>500</v>
      </c>
    </row>
    <row r="25" spans="1:10" ht="15.75" thickBot="1">
      <c r="A25" s="13">
        <v>4013</v>
      </c>
      <c r="B25" s="75" t="s">
        <v>42</v>
      </c>
      <c r="C25" s="76">
        <f>(PLAN!E23*4%)+PLAN!E23</f>
        <v>4883.5280000000002</v>
      </c>
      <c r="D25" s="76"/>
      <c r="E25" s="76">
        <v>4884</v>
      </c>
    </row>
    <row r="26" spans="1:10" ht="15.75" thickBot="1">
      <c r="A26" s="13">
        <v>4017</v>
      </c>
      <c r="B26" s="75" t="s">
        <v>43</v>
      </c>
      <c r="C26" s="76">
        <v>5000</v>
      </c>
      <c r="D26" s="76"/>
      <c r="E26" s="76">
        <v>5000</v>
      </c>
    </row>
    <row r="27" spans="1:10" ht="15.75" thickBot="1">
      <c r="A27" s="13">
        <v>4040</v>
      </c>
      <c r="B27" s="75" t="s">
        <v>44</v>
      </c>
      <c r="C27" s="76">
        <v>64500</v>
      </c>
      <c r="D27" s="76"/>
      <c r="E27" s="76">
        <v>64500</v>
      </c>
    </row>
    <row r="28" spans="1:10" ht="15.75" thickBot="1">
      <c r="A28" s="13">
        <v>4050</v>
      </c>
      <c r="B28" s="75" t="s">
        <v>45</v>
      </c>
      <c r="C28" s="76">
        <v>31733</v>
      </c>
      <c r="D28" s="76"/>
      <c r="E28" s="76">
        <v>31733</v>
      </c>
    </row>
    <row r="29" spans="1:10" ht="15.75" thickBot="1">
      <c r="A29" s="13">
        <v>4051</v>
      </c>
      <c r="B29" s="75" t="s">
        <v>305</v>
      </c>
      <c r="C29" s="76">
        <v>100000</v>
      </c>
      <c r="D29" s="76">
        <v>38000</v>
      </c>
      <c r="E29" s="76">
        <v>138000</v>
      </c>
      <c r="F29" s="88"/>
      <c r="G29" s="95"/>
      <c r="H29" s="95"/>
    </row>
    <row r="30" spans="1:10" ht="15.75" thickBot="1">
      <c r="A30" s="13">
        <v>4060</v>
      </c>
      <c r="B30" s="75" t="s">
        <v>47</v>
      </c>
      <c r="C30" s="76">
        <v>600000</v>
      </c>
      <c r="D30" s="76">
        <v>70192</v>
      </c>
      <c r="E30" s="76">
        <v>670192</v>
      </c>
    </row>
    <row r="31" spans="1:10" ht="15.75" thickBot="1">
      <c r="A31" s="13">
        <v>4061</v>
      </c>
      <c r="B31" s="75" t="s">
        <v>297</v>
      </c>
      <c r="C31" s="76">
        <f>(PLAN!E29*4%)+PLAN!E29</f>
        <v>21560.063200000001</v>
      </c>
      <c r="D31" s="76"/>
      <c r="E31" s="76">
        <v>21560</v>
      </c>
    </row>
    <row r="32" spans="1:10" ht="15.75" thickBot="1">
      <c r="A32" s="13">
        <v>4063</v>
      </c>
      <c r="B32" s="75" t="s">
        <v>48</v>
      </c>
      <c r="C32" s="76">
        <f>(PLAN!E30*4%)+PLAN!E30</f>
        <v>314.48559999999998</v>
      </c>
      <c r="D32" s="76"/>
      <c r="E32" s="76">
        <v>314</v>
      </c>
    </row>
    <row r="33" spans="1:5" ht="15.75" thickBot="1">
      <c r="A33" s="13">
        <v>4064</v>
      </c>
      <c r="B33" s="75" t="s">
        <v>49</v>
      </c>
      <c r="C33" s="76">
        <v>2000</v>
      </c>
      <c r="D33" s="76"/>
      <c r="E33" s="76">
        <v>2000</v>
      </c>
    </row>
    <row r="34" spans="1:5" ht="15.75" thickBot="1">
      <c r="A34" s="13">
        <v>4071</v>
      </c>
      <c r="B34" s="75" t="s">
        <v>50</v>
      </c>
      <c r="C34" s="76">
        <v>1000</v>
      </c>
      <c r="D34" s="76"/>
      <c r="E34" s="76">
        <v>1000</v>
      </c>
    </row>
    <row r="35" spans="1:5" s="95" customFormat="1" ht="15.75" thickBot="1">
      <c r="A35" s="13">
        <v>4100</v>
      </c>
      <c r="B35" s="75" t="s">
        <v>308</v>
      </c>
      <c r="C35" s="76">
        <v>9000</v>
      </c>
      <c r="D35" s="76"/>
      <c r="E35" s="76">
        <v>9000</v>
      </c>
    </row>
    <row r="36" spans="1:5" ht="15.75" thickBot="1">
      <c r="A36" s="13">
        <v>41000</v>
      </c>
      <c r="B36" s="75" t="s">
        <v>307</v>
      </c>
      <c r="C36" s="76">
        <v>2500</v>
      </c>
      <c r="D36" s="76"/>
      <c r="E36" s="76">
        <v>2500</v>
      </c>
    </row>
    <row r="37" spans="1:5" ht="15.75" thickBot="1">
      <c r="A37" s="13">
        <v>4685</v>
      </c>
      <c r="B37" s="75" t="s">
        <v>306</v>
      </c>
      <c r="C37" s="76">
        <v>6684.25</v>
      </c>
      <c r="D37" s="76"/>
      <c r="E37" s="76">
        <v>6684.25</v>
      </c>
    </row>
    <row r="38" spans="1:5" ht="15.75" thickBot="1">
      <c r="A38" s="13">
        <v>4101</v>
      </c>
      <c r="B38" s="75" t="s">
        <v>52</v>
      </c>
      <c r="C38" s="76">
        <f>(PLAN!E37*4%)+PLAN!E37</f>
        <v>626.39200000000005</v>
      </c>
      <c r="D38" s="76"/>
      <c r="E38" s="76">
        <v>626</v>
      </c>
    </row>
    <row r="39" spans="1:5" ht="15.75" thickBot="1">
      <c r="A39" s="13">
        <v>4108</v>
      </c>
      <c r="B39" s="75" t="s">
        <v>54</v>
      </c>
      <c r="C39" s="76">
        <f>(PLAN!E39*4%)+PLAN!E39</f>
        <v>434.928</v>
      </c>
      <c r="D39" s="76"/>
      <c r="E39" s="76">
        <v>435</v>
      </c>
    </row>
    <row r="40" spans="1:5" ht="15.75" thickBot="1">
      <c r="A40" s="13">
        <v>4173</v>
      </c>
      <c r="B40" s="75" t="s">
        <v>55</v>
      </c>
      <c r="C40" s="76">
        <f>(PLAN!E40*4%)+PLAN!E40</f>
        <v>140039.74400000001</v>
      </c>
      <c r="D40" s="76"/>
      <c r="E40" s="76">
        <v>140040</v>
      </c>
    </row>
    <row r="41" spans="1:5" ht="15.75" thickBot="1">
      <c r="A41" s="13">
        <v>4114</v>
      </c>
      <c r="B41" s="75" t="s">
        <v>56</v>
      </c>
      <c r="C41" s="76">
        <v>7000</v>
      </c>
      <c r="D41" s="76"/>
      <c r="E41" s="76">
        <v>7000</v>
      </c>
    </row>
    <row r="42" spans="1:5" ht="15.75" thickBot="1">
      <c r="A42" s="13">
        <v>4120</v>
      </c>
      <c r="B42" s="75" t="s">
        <v>57</v>
      </c>
      <c r="C42" s="76">
        <v>164675</v>
      </c>
      <c r="D42" s="76"/>
      <c r="E42" s="76">
        <v>164675</v>
      </c>
    </row>
    <row r="43" spans="1:5" ht="15.75" thickBot="1">
      <c r="A43" s="13">
        <v>4122</v>
      </c>
      <c r="B43" s="75" t="s">
        <v>58</v>
      </c>
      <c r="C43" s="76">
        <v>10500</v>
      </c>
      <c r="D43" s="76"/>
      <c r="E43" s="76">
        <v>10500</v>
      </c>
    </row>
    <row r="44" spans="1:5" ht="15.75" thickBot="1">
      <c r="A44" s="13">
        <v>4123</v>
      </c>
      <c r="B44" s="75" t="s">
        <v>59</v>
      </c>
      <c r="C44" s="76">
        <v>1400</v>
      </c>
      <c r="D44" s="76"/>
      <c r="E44" s="76">
        <v>1400</v>
      </c>
    </row>
    <row r="45" spans="1:5" ht="15.75" thickBot="1">
      <c r="A45" s="13">
        <v>4124</v>
      </c>
      <c r="B45" s="75" t="s">
        <v>60</v>
      </c>
      <c r="C45" s="76">
        <f>(PLAN!E45*4%)+PLAN!E45</f>
        <v>1405.3727999999999</v>
      </c>
      <c r="D45" s="76"/>
      <c r="E45" s="76">
        <v>1405</v>
      </c>
    </row>
    <row r="46" spans="1:5" ht="15.75" thickBot="1">
      <c r="A46" s="13">
        <v>4127</v>
      </c>
      <c r="B46" s="75" t="s">
        <v>61</v>
      </c>
      <c r="C46" s="76">
        <f>(PLAN!E46*4%)+PLAN!E46</f>
        <v>5692.2632000000003</v>
      </c>
      <c r="D46" s="76"/>
      <c r="E46" s="76">
        <v>5692</v>
      </c>
    </row>
    <row r="47" spans="1:5" ht="15.75" thickBot="1">
      <c r="A47" s="13">
        <v>4128</v>
      </c>
      <c r="B47" s="75" t="s">
        <v>62</v>
      </c>
      <c r="C47" s="76">
        <v>19900</v>
      </c>
      <c r="D47" s="76"/>
      <c r="E47" s="76">
        <v>19900</v>
      </c>
    </row>
    <row r="48" spans="1:5" ht="15.75" thickBot="1">
      <c r="A48" s="13">
        <v>4129</v>
      </c>
      <c r="B48" s="75" t="s">
        <v>63</v>
      </c>
      <c r="C48" s="76">
        <f>(PLAN!E48*4%)+PLAN!E48</f>
        <v>499.2</v>
      </c>
      <c r="D48" s="76"/>
      <c r="E48" s="76">
        <v>499</v>
      </c>
    </row>
    <row r="49" spans="1:5" ht="15.75" thickBot="1">
      <c r="A49" s="13">
        <v>4132</v>
      </c>
      <c r="B49" s="75" t="s">
        <v>64</v>
      </c>
      <c r="C49" s="76">
        <f>(PLAN!E49*4%)+PLAN!E49</f>
        <v>1507.7816</v>
      </c>
      <c r="D49" s="76"/>
      <c r="E49" s="76">
        <v>1508</v>
      </c>
    </row>
    <row r="50" spans="1:5" ht="15.75" thickBot="1">
      <c r="A50" s="13">
        <v>4141</v>
      </c>
      <c r="B50" s="75" t="s">
        <v>65</v>
      </c>
      <c r="C50" s="76">
        <v>2200</v>
      </c>
      <c r="D50" s="76"/>
      <c r="E50" s="76">
        <v>2200</v>
      </c>
    </row>
    <row r="51" spans="1:5" ht="15.75" thickBot="1">
      <c r="A51" s="13">
        <v>4150</v>
      </c>
      <c r="B51" s="75" t="s">
        <v>66</v>
      </c>
      <c r="C51" s="76">
        <v>35000</v>
      </c>
      <c r="D51" s="76"/>
      <c r="E51" s="76">
        <v>35000</v>
      </c>
    </row>
    <row r="52" spans="1:5" ht="15.75" thickBot="1">
      <c r="A52" s="13">
        <v>4160</v>
      </c>
      <c r="B52" s="75" t="s">
        <v>67</v>
      </c>
      <c r="C52" s="76">
        <f>(PLAN!E52*4%)+PLAN!E52</f>
        <v>15527.792799999999</v>
      </c>
      <c r="D52" s="76"/>
      <c r="E52" s="76">
        <v>15528</v>
      </c>
    </row>
    <row r="53" spans="1:5" ht="15.75" thickBot="1">
      <c r="A53" s="13">
        <v>4164</v>
      </c>
      <c r="B53" s="75" t="s">
        <v>68</v>
      </c>
      <c r="C53" s="76">
        <v>33600</v>
      </c>
      <c r="D53" s="76"/>
      <c r="E53" s="76">
        <v>33600</v>
      </c>
    </row>
    <row r="54" spans="1:5" ht="15.75" thickBot="1">
      <c r="A54" s="13">
        <v>4167</v>
      </c>
      <c r="B54" s="75" t="s">
        <v>70</v>
      </c>
      <c r="C54" s="76">
        <v>500</v>
      </c>
      <c r="D54" s="76"/>
      <c r="E54" s="76">
        <v>500</v>
      </c>
    </row>
    <row r="55" spans="1:5" ht="15.75" thickBot="1">
      <c r="A55" s="13">
        <v>4168</v>
      </c>
      <c r="B55" s="75" t="s">
        <v>71</v>
      </c>
      <c r="C55" s="76">
        <v>5300</v>
      </c>
      <c r="D55" s="76"/>
      <c r="E55" s="76">
        <v>5300</v>
      </c>
    </row>
    <row r="56" spans="1:5" ht="15.75" thickBot="1">
      <c r="A56" s="13">
        <v>4171</v>
      </c>
      <c r="B56" s="75" t="s">
        <v>72</v>
      </c>
      <c r="C56" s="76">
        <f>(PLAN!E57*4%)+PLAN!E57</f>
        <v>6909.76</v>
      </c>
      <c r="D56" s="76"/>
      <c r="E56" s="76">
        <v>6910</v>
      </c>
    </row>
    <row r="57" spans="1:5" ht="15.75" thickBot="1">
      <c r="A57" s="13">
        <v>4172</v>
      </c>
      <c r="B57" s="75" t="s">
        <v>73</v>
      </c>
      <c r="C57" s="76">
        <f>(PLAN!E58*4%)+PLAN!E58</f>
        <v>49132.8344</v>
      </c>
      <c r="D57" s="76"/>
      <c r="E57" s="76">
        <v>49133</v>
      </c>
    </row>
    <row r="58" spans="1:5" ht="15.75" thickBot="1">
      <c r="A58" s="13">
        <v>4176</v>
      </c>
      <c r="B58" s="75" t="s">
        <v>74</v>
      </c>
      <c r="C58" s="76">
        <f>(PLAN!E59*4%)+PLAN!E59</f>
        <v>1913.6</v>
      </c>
      <c r="D58" s="76"/>
      <c r="E58" s="76">
        <v>1914</v>
      </c>
    </row>
    <row r="59" spans="1:5" ht="15.75" thickBot="1">
      <c r="A59" s="13">
        <v>4177</v>
      </c>
      <c r="B59" s="75" t="s">
        <v>75</v>
      </c>
      <c r="C59" s="76">
        <f>(PLAN!E60*4%)+PLAN!E60</f>
        <v>1934.4</v>
      </c>
      <c r="D59" s="76"/>
      <c r="E59" s="76">
        <v>1934</v>
      </c>
    </row>
    <row r="60" spans="1:5" ht="15.75" thickBot="1">
      <c r="A60" s="13">
        <v>4199</v>
      </c>
      <c r="B60" s="75" t="s">
        <v>76</v>
      </c>
      <c r="C60" s="76">
        <f>(PLAN!E61*4%)+PLAN!E61</f>
        <v>1560</v>
      </c>
      <c r="D60" s="76"/>
      <c r="E60" s="76">
        <v>1560</v>
      </c>
    </row>
    <row r="61" spans="1:5" ht="15.75" thickBot="1">
      <c r="A61" s="13">
        <v>4200</v>
      </c>
      <c r="B61" s="75" t="s">
        <v>77</v>
      </c>
      <c r="C61" s="76">
        <f>(PLAN!E62*4%)+PLAN!E62</f>
        <v>1422003.44</v>
      </c>
      <c r="D61" s="76"/>
      <c r="E61" s="76">
        <v>1422003</v>
      </c>
    </row>
    <row r="62" spans="1:5" ht="15.75" thickBot="1">
      <c r="A62" s="13">
        <v>4310</v>
      </c>
      <c r="B62" s="75" t="s">
        <v>78</v>
      </c>
      <c r="C62" s="76">
        <f>(PLAN!E63*4%)+PLAN!E63</f>
        <v>314478.32</v>
      </c>
      <c r="D62" s="76"/>
      <c r="E62" s="76">
        <v>314478</v>
      </c>
    </row>
    <row r="63" spans="1:5" ht="15.75" thickBot="1">
      <c r="A63" s="13">
        <v>4600</v>
      </c>
      <c r="B63" s="75" t="s">
        <v>79</v>
      </c>
      <c r="C63" s="76">
        <v>500</v>
      </c>
      <c r="D63" s="76"/>
      <c r="E63" s="76">
        <v>500</v>
      </c>
    </row>
    <row r="64" spans="1:5" ht="15.75" thickBot="1">
      <c r="A64" s="13">
        <v>4609</v>
      </c>
      <c r="B64" s="75" t="s">
        <v>80</v>
      </c>
      <c r="C64" s="76">
        <v>500</v>
      </c>
      <c r="D64" s="76"/>
      <c r="E64" s="76">
        <v>500</v>
      </c>
    </row>
    <row r="65" spans="1:7" ht="15.75" thickBot="1">
      <c r="A65" s="13">
        <v>4651</v>
      </c>
      <c r="B65" s="75" t="s">
        <v>81</v>
      </c>
      <c r="C65" s="76">
        <v>30000</v>
      </c>
      <c r="D65" s="76"/>
      <c r="E65" s="76">
        <v>30000</v>
      </c>
    </row>
    <row r="66" spans="1:7" ht="15.75" thickBot="1">
      <c r="A66" s="13">
        <v>4630</v>
      </c>
      <c r="B66" s="75" t="s">
        <v>82</v>
      </c>
      <c r="C66" s="76">
        <f>(PLAN!E67*4%)+PLAN!E67</f>
        <v>745.68</v>
      </c>
      <c r="D66" s="76"/>
      <c r="E66" s="76">
        <v>746</v>
      </c>
    </row>
    <row r="67" spans="1:7" ht="15.75" thickBot="1">
      <c r="A67" s="13">
        <v>4640</v>
      </c>
      <c r="B67" s="75" t="s">
        <v>83</v>
      </c>
      <c r="C67" s="76">
        <f>(PLAN!E68*4%)+PLAN!E68</f>
        <v>25470.931199999999</v>
      </c>
      <c r="D67" s="76"/>
      <c r="E67" s="76">
        <v>25471</v>
      </c>
    </row>
    <row r="68" spans="1:7" ht="15.75" thickBot="1">
      <c r="A68" s="13">
        <v>4642</v>
      </c>
      <c r="B68" s="75" t="s">
        <v>85</v>
      </c>
      <c r="C68" s="76">
        <f>(PLAN!E70*4%)+PLAN!E70</f>
        <v>1338.48</v>
      </c>
      <c r="D68" s="76"/>
      <c r="E68" s="76">
        <v>1338</v>
      </c>
    </row>
    <row r="69" spans="1:7" ht="15.75" thickBot="1">
      <c r="A69" s="13">
        <v>4650</v>
      </c>
      <c r="B69" s="75" t="s">
        <v>86</v>
      </c>
      <c r="C69" s="76">
        <f>(PLAN!E71*4%)+PLAN!E71</f>
        <v>19252.428</v>
      </c>
      <c r="D69" s="76"/>
      <c r="E69" s="76">
        <v>19252</v>
      </c>
    </row>
    <row r="70" spans="1:7" ht="15.75" thickBot="1">
      <c r="A70" s="13">
        <v>4684</v>
      </c>
      <c r="B70" s="75" t="s">
        <v>87</v>
      </c>
      <c r="C70" s="76">
        <f>(PLAN!E72*4%)+PLAN!E72</f>
        <v>1331.2</v>
      </c>
      <c r="D70" s="76"/>
      <c r="E70" s="76">
        <v>1331</v>
      </c>
    </row>
    <row r="71" spans="1:7" ht="15.75" thickBot="1">
      <c r="A71" s="13">
        <v>4693</v>
      </c>
      <c r="B71" s="75" t="s">
        <v>90</v>
      </c>
      <c r="C71" s="76">
        <v>500</v>
      </c>
      <c r="D71" s="76"/>
      <c r="E71" s="76">
        <v>500</v>
      </c>
    </row>
    <row r="72" spans="1:7" ht="15.75" thickBot="1">
      <c r="A72" s="13">
        <v>4694</v>
      </c>
      <c r="B72" s="75" t="s">
        <v>91</v>
      </c>
      <c r="C72" s="76">
        <f>(PLAN!E76*4%)+PLAN!E76</f>
        <v>14921.545599999999</v>
      </c>
      <c r="D72" s="76"/>
      <c r="E72" s="76">
        <v>14922</v>
      </c>
    </row>
    <row r="73" spans="1:7" ht="15.75" thickBot="1">
      <c r="A73" s="13">
        <v>4695</v>
      </c>
      <c r="B73" s="75" t="s">
        <v>92</v>
      </c>
      <c r="C73" s="76">
        <f>(PLAN!E77*4%)+PLAN!E77</f>
        <v>5298.8</v>
      </c>
      <c r="D73" s="76"/>
      <c r="E73" s="76">
        <v>5299</v>
      </c>
    </row>
    <row r="74" spans="1:7" ht="15.75" thickBot="1">
      <c r="A74" s="13">
        <v>4740</v>
      </c>
      <c r="B74" s="75" t="s">
        <v>94</v>
      </c>
      <c r="C74" s="76">
        <v>1000</v>
      </c>
      <c r="D74" s="76"/>
      <c r="E74" s="76">
        <v>1000</v>
      </c>
    </row>
    <row r="75" spans="1:7" ht="15.75" thickBot="1">
      <c r="A75" s="13">
        <v>4831</v>
      </c>
      <c r="B75" s="75" t="s">
        <v>95</v>
      </c>
      <c r="C75" s="76">
        <v>1000</v>
      </c>
      <c r="D75" s="76"/>
      <c r="E75" s="76">
        <v>1000</v>
      </c>
    </row>
    <row r="76" spans="1:7" ht="15.75" thickBot="1">
      <c r="A76" s="13"/>
      <c r="B76" s="75" t="s">
        <v>96</v>
      </c>
      <c r="C76" s="76">
        <f>(PLAN!E81*4%)+PLAN!E81</f>
        <v>11637.516799999999</v>
      </c>
      <c r="D76" s="76"/>
      <c r="E76" s="76">
        <v>11638</v>
      </c>
    </row>
    <row r="77" spans="1:7" ht="15.75" thickBot="1">
      <c r="A77" s="13"/>
      <c r="B77" s="75" t="s">
        <v>97</v>
      </c>
      <c r="C77" s="76">
        <v>3000</v>
      </c>
      <c r="D77" s="76"/>
      <c r="E77" s="76">
        <v>3000</v>
      </c>
    </row>
    <row r="78" spans="1:7" ht="15.75" thickBot="1">
      <c r="A78" s="92"/>
      <c r="B78" s="91" t="s">
        <v>98</v>
      </c>
      <c r="C78" s="98">
        <f>SUM(C17:C77)</f>
        <v>3877837.4247999992</v>
      </c>
      <c r="D78" s="98">
        <v>111071</v>
      </c>
      <c r="E78" s="98">
        <f>SUM(E17:E77)</f>
        <v>3988907.01</v>
      </c>
      <c r="G78" s="78"/>
    </row>
    <row r="79" spans="1:7" ht="15.75" thickBot="1">
      <c r="A79" s="96"/>
      <c r="B79" s="97" t="s">
        <v>99</v>
      </c>
      <c r="C79" s="99">
        <f>C14-C78</f>
        <v>5047.9552000011317</v>
      </c>
      <c r="D79" s="99"/>
      <c r="E79" s="99">
        <f>E14-E78</f>
        <v>5047.9900000002235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>
      <selection activeCell="A14" sqref="A14:B84"/>
    </sheetView>
  </sheetViews>
  <sheetFormatPr defaultRowHeight="15"/>
  <cols>
    <col min="1" max="1" width="7.140625" customWidth="1"/>
    <col min="2" max="2" width="52.28515625" customWidth="1"/>
    <col min="3" max="3" width="13.7109375" customWidth="1"/>
    <col min="4" max="4" width="15.42578125" customWidth="1"/>
    <col min="5" max="5" width="15.28515625" customWidth="1"/>
    <col min="7" max="7" width="10" bestFit="1" customWidth="1"/>
  </cols>
  <sheetData>
    <row r="1" spans="1:6" ht="16.5" thickTop="1" thickBot="1">
      <c r="A1" s="105" t="s">
        <v>17</v>
      </c>
      <c r="B1" s="106"/>
      <c r="C1" s="72"/>
      <c r="D1" s="72"/>
      <c r="E1" s="73"/>
    </row>
    <row r="2" spans="1:6" ht="39.75" thickTop="1" thickBot="1">
      <c r="A2" s="29" t="s">
        <v>18</v>
      </c>
      <c r="B2" s="28" t="s">
        <v>19</v>
      </c>
      <c r="C2" s="12" t="s">
        <v>20</v>
      </c>
      <c r="D2" s="12" t="s">
        <v>300</v>
      </c>
      <c r="E2" s="12" t="s">
        <v>21</v>
      </c>
    </row>
    <row r="3" spans="1:6" ht="15.75" thickBot="1">
      <c r="A3" s="13">
        <v>7510</v>
      </c>
      <c r="B3" s="30" t="s">
        <v>22</v>
      </c>
      <c r="C3" s="15">
        <v>1273</v>
      </c>
      <c r="D3" s="15">
        <v>1273</v>
      </c>
      <c r="E3" s="50">
        <v>1404</v>
      </c>
    </row>
    <row r="4" spans="1:6" ht="15.75" thickBot="1">
      <c r="A4" s="13">
        <v>7511</v>
      </c>
      <c r="B4" s="30" t="s">
        <v>23</v>
      </c>
      <c r="C4" s="16">
        <v>1303055</v>
      </c>
      <c r="D4" s="16">
        <v>1303055</v>
      </c>
      <c r="E4" s="50">
        <v>1409007</v>
      </c>
    </row>
    <row r="5" spans="1:6" ht="15.75" thickBot="1">
      <c r="A5" s="13">
        <v>7570</v>
      </c>
      <c r="B5" s="30" t="s">
        <v>24</v>
      </c>
      <c r="C5" s="16">
        <v>1656851</v>
      </c>
      <c r="D5" s="16">
        <v>1656851</v>
      </c>
      <c r="E5" s="50">
        <v>2009390</v>
      </c>
    </row>
    <row r="6" spans="1:6" ht="15.75" thickBot="1">
      <c r="A6" s="13">
        <v>7512</v>
      </c>
      <c r="B6" s="30" t="s">
        <v>25</v>
      </c>
      <c r="C6" s="16">
        <v>1643</v>
      </c>
      <c r="D6" s="16">
        <v>1643</v>
      </c>
      <c r="E6" s="50">
        <v>0</v>
      </c>
    </row>
    <row r="7" spans="1:6" ht="15.75" thickBot="1">
      <c r="A7" s="13">
        <v>7837</v>
      </c>
      <c r="B7" s="30" t="s">
        <v>125</v>
      </c>
      <c r="C7" s="16">
        <v>850000</v>
      </c>
      <c r="D7" s="16">
        <v>850000</v>
      </c>
      <c r="E7" s="50">
        <f>576345+34000</f>
        <v>610345</v>
      </c>
    </row>
    <row r="8" spans="1:6" ht="15.75" thickBot="1">
      <c r="A8" s="13">
        <v>7838</v>
      </c>
      <c r="B8" s="30" t="s">
        <v>26</v>
      </c>
      <c r="C8" s="16">
        <v>50000</v>
      </c>
      <c r="D8" s="16">
        <v>50000</v>
      </c>
      <c r="E8" s="50">
        <v>16000</v>
      </c>
      <c r="F8" s="14"/>
    </row>
    <row r="9" spans="1:6" ht="15.75" thickBot="1">
      <c r="A9" s="13">
        <v>7710</v>
      </c>
      <c r="B9" s="30" t="s">
        <v>124</v>
      </c>
      <c r="C9" s="16">
        <v>8448</v>
      </c>
      <c r="D9" s="16">
        <v>8448</v>
      </c>
      <c r="E9" s="50">
        <v>5960</v>
      </c>
    </row>
    <row r="10" spans="1:6" ht="15.75" thickBot="1">
      <c r="A10" s="49">
        <v>7807</v>
      </c>
      <c r="B10" s="30" t="s">
        <v>27</v>
      </c>
      <c r="C10" s="16">
        <v>1256</v>
      </c>
      <c r="D10" s="16">
        <v>1256</v>
      </c>
      <c r="E10" s="31">
        <v>4105</v>
      </c>
    </row>
    <row r="11" spans="1:6" ht="15.75" thickBot="1">
      <c r="A11" s="17">
        <v>7811</v>
      </c>
      <c r="B11" s="32" t="s">
        <v>28</v>
      </c>
      <c r="C11" s="16">
        <v>1020</v>
      </c>
      <c r="D11" s="16">
        <v>1020</v>
      </c>
      <c r="E11" s="31"/>
    </row>
    <row r="12" spans="1:6" ht="15.75" thickBot="1">
      <c r="A12" s="33"/>
      <c r="B12" s="34" t="s">
        <v>29</v>
      </c>
      <c r="C12" s="18">
        <v>3873545</v>
      </c>
      <c r="D12" s="18">
        <v>3873545</v>
      </c>
      <c r="E12" s="18">
        <f t="shared" ref="E12" si="0">SUM(E3:E11)</f>
        <v>4056211</v>
      </c>
    </row>
    <row r="13" spans="1:6" ht="15.75" thickBot="1">
      <c r="A13" s="107" t="s">
        <v>30</v>
      </c>
      <c r="B13" s="108"/>
      <c r="C13" s="35"/>
      <c r="D13" s="35"/>
      <c r="E13" s="35"/>
    </row>
    <row r="14" spans="1:6" ht="39.75" thickTop="1" thickBot="1">
      <c r="A14" s="29" t="s">
        <v>18</v>
      </c>
      <c r="B14" s="28" t="s">
        <v>31</v>
      </c>
      <c r="C14" s="51" t="s">
        <v>32</v>
      </c>
      <c r="D14" s="51" t="s">
        <v>33</v>
      </c>
      <c r="E14" s="36" t="s">
        <v>301</v>
      </c>
    </row>
    <row r="15" spans="1:6" ht="15.75" thickBot="1">
      <c r="A15" s="13">
        <v>4000</v>
      </c>
      <c r="B15" s="37" t="s">
        <v>34</v>
      </c>
      <c r="C15" s="52">
        <v>519952</v>
      </c>
      <c r="D15" s="53">
        <v>519952</v>
      </c>
      <c r="E15" s="50">
        <v>497528</v>
      </c>
    </row>
    <row r="16" spans="1:6" ht="15.75" thickBot="1">
      <c r="A16" s="13">
        <v>4002</v>
      </c>
      <c r="B16" s="37" t="s">
        <v>35</v>
      </c>
      <c r="C16" s="54">
        <v>9776</v>
      </c>
      <c r="D16" s="55">
        <v>9776</v>
      </c>
      <c r="E16" s="50">
        <f>6761.82+764.11</f>
        <v>7525.9299999999994</v>
      </c>
    </row>
    <row r="17" spans="1:5" ht="15.75" thickBot="1">
      <c r="A17" s="13">
        <v>4003</v>
      </c>
      <c r="B17" s="37" t="s">
        <v>36</v>
      </c>
      <c r="C17" s="54">
        <v>19588</v>
      </c>
      <c r="D17" s="55">
        <v>19588</v>
      </c>
      <c r="E17" s="50">
        <f>16622.12+67.13</f>
        <v>16689.25</v>
      </c>
    </row>
    <row r="18" spans="1:5" ht="15.75" thickBot="1">
      <c r="A18" s="13">
        <v>4004</v>
      </c>
      <c r="B18" s="37" t="s">
        <v>37</v>
      </c>
      <c r="C18" s="54">
        <v>44194</v>
      </c>
      <c r="D18" s="55">
        <v>44194</v>
      </c>
      <c r="E18" s="50">
        <v>48374.5</v>
      </c>
    </row>
    <row r="19" spans="1:5" ht="15.75" thickBot="1">
      <c r="A19" s="13">
        <v>4005</v>
      </c>
      <c r="B19" s="37" t="s">
        <v>38</v>
      </c>
      <c r="C19" s="54">
        <v>1071</v>
      </c>
      <c r="D19" s="55">
        <v>1071</v>
      </c>
      <c r="E19" s="50">
        <v>287.97000000000003</v>
      </c>
    </row>
    <row r="20" spans="1:5" ht="15.75" thickBot="1">
      <c r="A20" s="13">
        <v>4010</v>
      </c>
      <c r="B20" s="37" t="s">
        <v>39</v>
      </c>
      <c r="C20" s="54">
        <v>9621</v>
      </c>
      <c r="D20" s="55">
        <v>9621</v>
      </c>
      <c r="E20" s="50">
        <f>5377.74+239.7</f>
        <v>5617.44</v>
      </c>
    </row>
    <row r="21" spans="1:5" ht="15.75" thickBot="1">
      <c r="A21" s="13">
        <v>4011</v>
      </c>
      <c r="B21" s="37" t="s">
        <v>40</v>
      </c>
      <c r="C21" s="54">
        <v>59036</v>
      </c>
      <c r="D21" s="55">
        <v>59036</v>
      </c>
      <c r="E21" s="31">
        <f>63057+962.8+3876.77</f>
        <v>67896.570000000007</v>
      </c>
    </row>
    <row r="22" spans="1:5" ht="15.75" thickBot="1">
      <c r="A22" s="13">
        <v>4012</v>
      </c>
      <c r="B22" s="37" t="s">
        <v>41</v>
      </c>
      <c r="C22" s="56">
        <v>322</v>
      </c>
      <c r="D22" s="57">
        <v>325</v>
      </c>
      <c r="E22" s="50">
        <v>201.58</v>
      </c>
    </row>
    <row r="23" spans="1:5" ht="15.75" thickBot="1">
      <c r="A23" s="13">
        <v>4013</v>
      </c>
      <c r="B23" s="37" t="s">
        <v>42</v>
      </c>
      <c r="C23" s="54">
        <v>3803</v>
      </c>
      <c r="D23" s="55">
        <v>3803</v>
      </c>
      <c r="E23" s="50">
        <f>4536.2+159.5</f>
        <v>4695.7</v>
      </c>
    </row>
    <row r="24" spans="1:5" ht="15.75" thickBot="1">
      <c r="A24" s="13">
        <v>4017</v>
      </c>
      <c r="B24" s="37" t="s">
        <v>43</v>
      </c>
      <c r="C24" s="54">
        <v>9190</v>
      </c>
      <c r="D24" s="55">
        <v>9190</v>
      </c>
      <c r="E24" s="50">
        <f>1482.56+39.98</f>
        <v>1522.54</v>
      </c>
    </row>
    <row r="25" spans="1:5" ht="15.75" thickBot="1">
      <c r="A25" s="13">
        <v>4040</v>
      </c>
      <c r="B25" s="37" t="s">
        <v>44</v>
      </c>
      <c r="C25" s="54">
        <v>5427</v>
      </c>
      <c r="D25" s="55">
        <v>5427</v>
      </c>
      <c r="E25" s="50">
        <f>35508.4+18131.6</f>
        <v>53640</v>
      </c>
    </row>
    <row r="26" spans="1:5" ht="15.75" thickBot="1">
      <c r="A26" s="13">
        <v>4050</v>
      </c>
      <c r="B26" s="37" t="s">
        <v>45</v>
      </c>
      <c r="C26" s="54">
        <v>49558</v>
      </c>
      <c r="D26" s="55">
        <v>49558</v>
      </c>
      <c r="E26" s="50">
        <f>21673.71+15569.59</f>
        <v>37243.300000000003</v>
      </c>
    </row>
    <row r="27" spans="1:5" ht="15.75" thickBot="1">
      <c r="A27" s="13">
        <v>4051</v>
      </c>
      <c r="B27" s="37" t="s">
        <v>46</v>
      </c>
      <c r="C27" s="54">
        <v>100000</v>
      </c>
      <c r="D27" s="55">
        <v>100000</v>
      </c>
      <c r="E27" s="38">
        <v>50000</v>
      </c>
    </row>
    <row r="28" spans="1:5" ht="15.75" thickBot="1">
      <c r="A28" s="13">
        <v>4060</v>
      </c>
      <c r="B28" s="39" t="s">
        <v>47</v>
      </c>
      <c r="C28" s="54">
        <v>475695</v>
      </c>
      <c r="D28" s="58">
        <v>491182.16</v>
      </c>
      <c r="E28" s="50">
        <v>596622</v>
      </c>
    </row>
    <row r="29" spans="1:5" ht="15.75" thickBot="1">
      <c r="A29" s="13">
        <v>4061</v>
      </c>
      <c r="B29" s="37" t="s">
        <v>297</v>
      </c>
      <c r="C29" s="54">
        <v>42612</v>
      </c>
      <c r="D29" s="55">
        <v>42612</v>
      </c>
      <c r="E29" s="50">
        <f>19372.58+1358.25</f>
        <v>20730.830000000002</v>
      </c>
    </row>
    <row r="30" spans="1:5" ht="15.75" thickBot="1">
      <c r="A30" s="13">
        <v>4063</v>
      </c>
      <c r="B30" s="37" t="s">
        <v>48</v>
      </c>
      <c r="C30" s="56">
        <v>465</v>
      </c>
      <c r="D30" s="57">
        <v>465</v>
      </c>
      <c r="E30" s="50">
        <v>302.39</v>
      </c>
    </row>
    <row r="31" spans="1:5" ht="15.75" thickBot="1">
      <c r="A31" s="13">
        <v>4064</v>
      </c>
      <c r="B31" s="37" t="s">
        <v>49</v>
      </c>
      <c r="C31" s="54">
        <v>3339</v>
      </c>
      <c r="D31" s="55">
        <v>3339</v>
      </c>
      <c r="E31" s="50">
        <v>1275</v>
      </c>
    </row>
    <row r="32" spans="1:5" ht="15.75" thickBot="1">
      <c r="A32" s="13">
        <v>4071</v>
      </c>
      <c r="B32" s="37" t="s">
        <v>50</v>
      </c>
      <c r="C32" s="54">
        <v>1200</v>
      </c>
      <c r="D32" s="55">
        <v>1200</v>
      </c>
      <c r="E32" s="50">
        <v>1015.99</v>
      </c>
    </row>
    <row r="33" spans="1:5" ht="15.75" thickBot="1">
      <c r="A33" s="13">
        <v>4100</v>
      </c>
      <c r="B33" s="37" t="s">
        <v>51</v>
      </c>
      <c r="C33" s="54">
        <v>33327</v>
      </c>
      <c r="D33" s="55">
        <v>33327</v>
      </c>
      <c r="E33" s="40">
        <v>0</v>
      </c>
    </row>
    <row r="34" spans="1:5" ht="15.75" thickBot="1">
      <c r="A34" s="109"/>
      <c r="B34" s="59"/>
      <c r="C34" s="41"/>
      <c r="D34" s="42" t="s">
        <v>293</v>
      </c>
      <c r="E34" s="50">
        <f>10845.18+572.85</f>
        <v>11418.03</v>
      </c>
    </row>
    <row r="35" spans="1:5" ht="15.75" thickBot="1">
      <c r="A35" s="110"/>
      <c r="B35" s="60"/>
      <c r="C35" s="43"/>
      <c r="D35" s="42" t="s">
        <v>298</v>
      </c>
      <c r="E35" s="50">
        <f>6274.21+155.59</f>
        <v>6429.8</v>
      </c>
    </row>
    <row r="36" spans="1:5" ht="15.75" thickBot="1">
      <c r="A36" s="44"/>
      <c r="B36" s="61"/>
      <c r="C36" s="45"/>
      <c r="D36" s="45" t="s">
        <v>299</v>
      </c>
      <c r="E36" s="62">
        <f>2985+483</f>
        <v>3468</v>
      </c>
    </row>
    <row r="37" spans="1:5" ht="15.75" thickBot="1">
      <c r="A37" s="13">
        <v>4101</v>
      </c>
      <c r="B37" s="37" t="s">
        <v>52</v>
      </c>
      <c r="C37" s="56">
        <v>529</v>
      </c>
      <c r="D37" s="57">
        <v>529</v>
      </c>
      <c r="E37" s="50">
        <f>599.2+3.1</f>
        <v>602.30000000000007</v>
      </c>
    </row>
    <row r="38" spans="1:5" ht="15.75" thickBot="1">
      <c r="A38" s="13">
        <v>4103</v>
      </c>
      <c r="B38" s="37" t="s">
        <v>53</v>
      </c>
      <c r="C38" s="56">
        <v>0</v>
      </c>
      <c r="D38" s="57">
        <v>0</v>
      </c>
      <c r="E38" s="38">
        <v>0</v>
      </c>
    </row>
    <row r="39" spans="1:5" ht="15.75" thickBot="1">
      <c r="A39" s="13">
        <v>4108</v>
      </c>
      <c r="B39" s="37" t="s">
        <v>54</v>
      </c>
      <c r="C39" s="56">
        <v>20</v>
      </c>
      <c r="D39" s="57">
        <v>20</v>
      </c>
      <c r="E39" s="50">
        <v>418.2</v>
      </c>
    </row>
    <row r="40" spans="1:5" ht="15.75" thickBot="1">
      <c r="A40" s="13">
        <v>4173</v>
      </c>
      <c r="B40" s="37" t="s">
        <v>55</v>
      </c>
      <c r="C40" s="54">
        <v>187482</v>
      </c>
      <c r="D40" s="55">
        <v>187482</v>
      </c>
      <c r="E40" s="50">
        <f>97283.2+37370.4</f>
        <v>134653.6</v>
      </c>
    </row>
    <row r="41" spans="1:5" ht="15.75" thickBot="1">
      <c r="A41" s="13">
        <v>4114</v>
      </c>
      <c r="B41" s="37" t="s">
        <v>56</v>
      </c>
      <c r="C41" s="54">
        <v>2108</v>
      </c>
      <c r="D41" s="55">
        <v>2108</v>
      </c>
      <c r="E41" s="50">
        <v>6473</v>
      </c>
    </row>
    <row r="42" spans="1:5" ht="15.75" thickBot="1">
      <c r="A42" s="13">
        <v>4120</v>
      </c>
      <c r="B42" s="37" t="s">
        <v>57</v>
      </c>
      <c r="C42" s="54">
        <v>51034</v>
      </c>
      <c r="D42" s="55">
        <v>51034</v>
      </c>
      <c r="E42" s="50">
        <f>9629.43+1127.5</f>
        <v>10756.93</v>
      </c>
    </row>
    <row r="43" spans="1:5" ht="15.75" thickBot="1">
      <c r="A43" s="13">
        <v>4122</v>
      </c>
      <c r="B43" s="37" t="s">
        <v>58</v>
      </c>
      <c r="C43" s="54">
        <v>9177</v>
      </c>
      <c r="D43" s="55">
        <v>9177</v>
      </c>
      <c r="E43" s="50">
        <f>8590.4+608</f>
        <v>9198.4</v>
      </c>
    </row>
    <row r="44" spans="1:5" ht="15.75" thickBot="1">
      <c r="A44" s="13">
        <v>4123</v>
      </c>
      <c r="B44" s="37" t="s">
        <v>59</v>
      </c>
      <c r="C44" s="54">
        <v>3315</v>
      </c>
      <c r="D44" s="55">
        <v>3315</v>
      </c>
      <c r="E44" s="50">
        <f>4799.96+46</f>
        <v>4845.96</v>
      </c>
    </row>
    <row r="45" spans="1:5" ht="15.75" thickBot="1">
      <c r="A45" s="13">
        <v>4124</v>
      </c>
      <c r="B45" s="37" t="s">
        <v>60</v>
      </c>
      <c r="C45" s="54">
        <v>3004</v>
      </c>
      <c r="D45" s="55">
        <v>3004</v>
      </c>
      <c r="E45" s="50">
        <v>1351.32</v>
      </c>
    </row>
    <row r="46" spans="1:5" ht="15.75" thickBot="1">
      <c r="A46" s="13">
        <v>4127</v>
      </c>
      <c r="B46" s="37" t="s">
        <v>61</v>
      </c>
      <c r="C46" s="54">
        <v>6783</v>
      </c>
      <c r="D46" s="55">
        <v>6783</v>
      </c>
      <c r="E46" s="50">
        <f>4988.33+485</f>
        <v>5473.33</v>
      </c>
    </row>
    <row r="47" spans="1:5" ht="15.75" thickBot="1">
      <c r="A47" s="13">
        <v>4128</v>
      </c>
      <c r="B47" s="37" t="s">
        <v>62</v>
      </c>
      <c r="C47" s="54">
        <v>14923</v>
      </c>
      <c r="D47" s="63">
        <v>19861</v>
      </c>
      <c r="E47" s="50">
        <v>19861.03</v>
      </c>
    </row>
    <row r="48" spans="1:5" ht="15.75" thickBot="1">
      <c r="A48" s="13">
        <v>4129</v>
      </c>
      <c r="B48" s="37" t="s">
        <v>63</v>
      </c>
      <c r="C48" s="56">
        <v>494</v>
      </c>
      <c r="D48" s="57">
        <v>494</v>
      </c>
      <c r="E48" s="50">
        <v>480</v>
      </c>
    </row>
    <row r="49" spans="1:5" ht="15.75" thickBot="1">
      <c r="A49" s="13">
        <v>4132</v>
      </c>
      <c r="B49" s="37" t="s">
        <v>64</v>
      </c>
      <c r="C49" s="54">
        <v>1390</v>
      </c>
      <c r="D49" s="55">
        <v>1390</v>
      </c>
      <c r="E49" s="50">
        <v>1449.79</v>
      </c>
    </row>
    <row r="50" spans="1:5" ht="15.75" thickBot="1">
      <c r="A50" s="13">
        <v>4141</v>
      </c>
      <c r="B50" s="37" t="s">
        <v>65</v>
      </c>
      <c r="C50" s="54">
        <v>1334</v>
      </c>
      <c r="D50" s="55">
        <v>1334</v>
      </c>
      <c r="E50" s="50">
        <f>1855+109</f>
        <v>1964</v>
      </c>
    </row>
    <row r="51" spans="1:5" ht="15.75" thickBot="1">
      <c r="A51" s="13">
        <v>4150</v>
      </c>
      <c r="B51" s="46" t="s">
        <v>66</v>
      </c>
      <c r="C51" s="64">
        <v>27601</v>
      </c>
      <c r="D51" s="63">
        <v>67601</v>
      </c>
      <c r="E51" s="50">
        <f>24333.32+4333.33</f>
        <v>28666.65</v>
      </c>
    </row>
    <row r="52" spans="1:5" ht="15.75" thickBot="1">
      <c r="A52" s="13">
        <v>4160</v>
      </c>
      <c r="B52" s="37" t="s">
        <v>67</v>
      </c>
      <c r="C52" s="54">
        <v>8442</v>
      </c>
      <c r="D52" s="55">
        <v>8442</v>
      </c>
      <c r="E52" s="50">
        <f>13632.32+1298.25</f>
        <v>14930.57</v>
      </c>
    </row>
    <row r="53" spans="1:5" ht="15.75" thickBot="1">
      <c r="A53" s="13">
        <v>4164</v>
      </c>
      <c r="B53" s="37" t="s">
        <v>68</v>
      </c>
      <c r="C53" s="54">
        <v>30920</v>
      </c>
      <c r="D53" s="55">
        <v>30920</v>
      </c>
      <c r="E53" s="50">
        <f>30800+2800</f>
        <v>33600</v>
      </c>
    </row>
    <row r="54" spans="1:5" ht="15.75" thickBot="1">
      <c r="A54" s="13">
        <v>4166</v>
      </c>
      <c r="B54" s="46" t="s">
        <v>69</v>
      </c>
      <c r="C54" s="47"/>
      <c r="D54" s="63">
        <v>25000</v>
      </c>
      <c r="E54" s="38">
        <v>25000</v>
      </c>
    </row>
    <row r="55" spans="1:5" ht="15.75" thickBot="1">
      <c r="A55" s="13">
        <v>4167</v>
      </c>
      <c r="B55" s="37" t="s">
        <v>70</v>
      </c>
      <c r="C55" s="56">
        <v>700</v>
      </c>
      <c r="D55" s="57">
        <v>700</v>
      </c>
      <c r="E55" s="50">
        <v>30</v>
      </c>
    </row>
    <row r="56" spans="1:5" ht="15.75" thickBot="1">
      <c r="A56" s="13">
        <v>4168</v>
      </c>
      <c r="B56" s="37" t="s">
        <v>71</v>
      </c>
      <c r="C56" s="54">
        <v>4615</v>
      </c>
      <c r="D56" s="55">
        <v>4615</v>
      </c>
      <c r="E56" s="38">
        <f>4193+381.15</f>
        <v>4574.1499999999996</v>
      </c>
    </row>
    <row r="57" spans="1:5" ht="15.75" thickBot="1">
      <c r="A57" s="13">
        <v>4171</v>
      </c>
      <c r="B57" s="37" t="s">
        <v>72</v>
      </c>
      <c r="C57" s="54">
        <v>6279</v>
      </c>
      <c r="D57" s="55">
        <v>6279</v>
      </c>
      <c r="E57" s="38">
        <f>6050+594</f>
        <v>6644</v>
      </c>
    </row>
    <row r="58" spans="1:5" ht="15.75" thickBot="1">
      <c r="A58" s="13">
        <v>4172</v>
      </c>
      <c r="B58" s="37" t="s">
        <v>73</v>
      </c>
      <c r="C58" s="54">
        <v>40667</v>
      </c>
      <c r="D58" s="55">
        <v>40667</v>
      </c>
      <c r="E58" s="38">
        <f>38761+8482.11</f>
        <v>47243.11</v>
      </c>
    </row>
    <row r="59" spans="1:5" ht="15.75" thickBot="1">
      <c r="A59" s="13">
        <v>4176</v>
      </c>
      <c r="B59" s="37" t="s">
        <v>74</v>
      </c>
      <c r="C59" s="54">
        <v>1877</v>
      </c>
      <c r="D59" s="55">
        <v>1877</v>
      </c>
      <c r="E59" s="38">
        <v>1840</v>
      </c>
    </row>
    <row r="60" spans="1:5" ht="15.75" thickBot="1">
      <c r="A60" s="13">
        <v>4177</v>
      </c>
      <c r="B60" s="37" t="s">
        <v>75</v>
      </c>
      <c r="C60" s="54">
        <v>1897</v>
      </c>
      <c r="D60" s="55">
        <v>1897</v>
      </c>
      <c r="E60" s="38">
        <v>1860</v>
      </c>
    </row>
    <row r="61" spans="1:5" ht="15.75" thickBot="1">
      <c r="A61" s="13">
        <v>4199</v>
      </c>
      <c r="B61" s="37" t="s">
        <v>76</v>
      </c>
      <c r="C61" s="56">
        <v>306</v>
      </c>
      <c r="D61" s="57">
        <v>306</v>
      </c>
      <c r="E61" s="40">
        <v>1500</v>
      </c>
    </row>
    <row r="62" spans="1:5" ht="15.75" thickBot="1">
      <c r="A62" s="13"/>
      <c r="B62" s="37" t="s">
        <v>77</v>
      </c>
      <c r="C62" s="54">
        <v>1417870</v>
      </c>
      <c r="D62" s="55">
        <v>1417870</v>
      </c>
      <c r="E62" s="40">
        <v>1367311</v>
      </c>
    </row>
    <row r="63" spans="1:5" ht="15.75" thickBot="1">
      <c r="A63" s="13">
        <v>4310</v>
      </c>
      <c r="B63" s="37" t="s">
        <v>78</v>
      </c>
      <c r="C63" s="54">
        <v>307623</v>
      </c>
      <c r="D63" s="55">
        <v>307623</v>
      </c>
      <c r="E63" s="40">
        <v>302383</v>
      </c>
    </row>
    <row r="64" spans="1:5" ht="15.75" thickBot="1">
      <c r="A64" s="13">
        <v>4600</v>
      </c>
      <c r="B64" s="37" t="s">
        <v>79</v>
      </c>
      <c r="C64" s="54">
        <v>3815</v>
      </c>
      <c r="D64" s="55">
        <v>3815</v>
      </c>
      <c r="E64" s="40">
        <v>0</v>
      </c>
    </row>
    <row r="65" spans="1:5" ht="15.75" thickBot="1">
      <c r="A65" s="13">
        <v>4609</v>
      </c>
      <c r="B65" s="37" t="s">
        <v>80</v>
      </c>
      <c r="C65" s="54">
        <v>1213</v>
      </c>
      <c r="D65" s="55">
        <v>1213</v>
      </c>
      <c r="E65" s="40">
        <v>0</v>
      </c>
    </row>
    <row r="66" spans="1:5" ht="15.75" thickBot="1">
      <c r="A66" s="13">
        <v>4651</v>
      </c>
      <c r="B66" s="37" t="s">
        <v>81</v>
      </c>
      <c r="C66" s="54">
        <v>25296</v>
      </c>
      <c r="D66" s="55">
        <v>25296</v>
      </c>
      <c r="E66" s="40">
        <v>60700</v>
      </c>
    </row>
    <row r="67" spans="1:5" ht="15.75" thickBot="1">
      <c r="A67" s="13">
        <v>4630</v>
      </c>
      <c r="B67" s="37" t="s">
        <v>82</v>
      </c>
      <c r="C67" s="56">
        <v>702</v>
      </c>
      <c r="D67" s="57">
        <v>702</v>
      </c>
      <c r="E67" s="40">
        <f>667+50</f>
        <v>717</v>
      </c>
    </row>
    <row r="68" spans="1:5" ht="15.75" thickBot="1">
      <c r="A68" s="13">
        <v>4640</v>
      </c>
      <c r="B68" s="37" t="s">
        <v>83</v>
      </c>
      <c r="C68" s="54">
        <v>25281</v>
      </c>
      <c r="D68" s="55">
        <v>25281</v>
      </c>
      <c r="E68" s="40">
        <f>22440+2051.28</f>
        <v>24491.279999999999</v>
      </c>
    </row>
    <row r="69" spans="1:5" ht="15.75" thickBot="1">
      <c r="A69" s="13">
        <v>4641</v>
      </c>
      <c r="B69" s="37" t="s">
        <v>84</v>
      </c>
      <c r="C69" s="56">
        <v>0</v>
      </c>
      <c r="D69" s="57">
        <v>0</v>
      </c>
      <c r="E69" s="40">
        <v>0</v>
      </c>
    </row>
    <row r="70" spans="1:5" ht="15.75" thickBot="1">
      <c r="A70" s="13">
        <v>4642</v>
      </c>
      <c r="B70" s="37" t="s">
        <v>85</v>
      </c>
      <c r="C70" s="54">
        <v>1429</v>
      </c>
      <c r="D70" s="55">
        <v>1429</v>
      </c>
      <c r="E70" s="40">
        <v>1287</v>
      </c>
    </row>
    <row r="71" spans="1:5" ht="15.75" thickBot="1">
      <c r="A71" s="13">
        <v>4650</v>
      </c>
      <c r="B71" s="37" t="s">
        <v>86</v>
      </c>
      <c r="C71" s="54">
        <v>21743</v>
      </c>
      <c r="D71" s="55">
        <v>21743</v>
      </c>
      <c r="E71" s="40">
        <f>13660+184+160+3648+2+87+770.95</f>
        <v>18511.95</v>
      </c>
    </row>
    <row r="72" spans="1:5" ht="15.75" thickBot="1">
      <c r="A72" s="13">
        <v>4684</v>
      </c>
      <c r="B72" s="37" t="s">
        <v>87</v>
      </c>
      <c r="C72" s="54">
        <v>1958</v>
      </c>
      <c r="D72" s="55">
        <v>1958</v>
      </c>
      <c r="E72" s="40">
        <f>1200+80</f>
        <v>1280</v>
      </c>
    </row>
    <row r="73" spans="1:5" ht="15.75" thickBot="1">
      <c r="A73" s="13">
        <v>4690</v>
      </c>
      <c r="B73" s="37" t="s">
        <v>88</v>
      </c>
      <c r="C73" s="54">
        <v>3000</v>
      </c>
      <c r="D73" s="55">
        <v>3000</v>
      </c>
      <c r="E73" s="40">
        <v>0</v>
      </c>
    </row>
    <row r="74" spans="1:5" ht="15.75" thickBot="1">
      <c r="A74" s="13">
        <v>4691</v>
      </c>
      <c r="B74" s="37" t="s">
        <v>89</v>
      </c>
      <c r="C74" s="54">
        <v>1530</v>
      </c>
      <c r="D74" s="55">
        <v>1530</v>
      </c>
      <c r="E74" s="40">
        <v>0</v>
      </c>
    </row>
    <row r="75" spans="1:5" ht="15.75" thickBot="1">
      <c r="A75" s="13">
        <v>4693</v>
      </c>
      <c r="B75" s="37" t="s">
        <v>90</v>
      </c>
      <c r="C75" s="56">
        <v>255</v>
      </c>
      <c r="D75" s="57">
        <v>255</v>
      </c>
      <c r="E75" s="40">
        <v>0</v>
      </c>
    </row>
    <row r="76" spans="1:5" ht="15.75" thickBot="1">
      <c r="A76" s="13">
        <v>4694</v>
      </c>
      <c r="B76" s="37" t="s">
        <v>91</v>
      </c>
      <c r="C76" s="54">
        <v>13767</v>
      </c>
      <c r="D76" s="55">
        <v>13767</v>
      </c>
      <c r="E76" s="40">
        <f>12077+2270.64</f>
        <v>14347.64</v>
      </c>
    </row>
    <row r="77" spans="1:5" ht="15.75" thickBot="1">
      <c r="A77" s="13">
        <v>4695</v>
      </c>
      <c r="B77" s="37" t="s">
        <v>92</v>
      </c>
      <c r="C77" s="54">
        <v>6938</v>
      </c>
      <c r="D77" s="55">
        <v>6938</v>
      </c>
      <c r="E77" s="40">
        <v>5095</v>
      </c>
    </row>
    <row r="78" spans="1:5" ht="15.75" thickBot="1">
      <c r="A78" s="13">
        <v>4730</v>
      </c>
      <c r="B78" s="37" t="s">
        <v>93</v>
      </c>
      <c r="C78" s="54">
        <v>38933</v>
      </c>
      <c r="D78" s="55">
        <v>38933</v>
      </c>
      <c r="E78" s="40">
        <v>9078</v>
      </c>
    </row>
    <row r="79" spans="1:5" ht="15.75" thickBot="1">
      <c r="A79" s="13">
        <v>4740</v>
      </c>
      <c r="B79" s="37" t="s">
        <v>94</v>
      </c>
      <c r="C79" s="54">
        <v>1284</v>
      </c>
      <c r="D79" s="55">
        <v>1284</v>
      </c>
      <c r="E79" s="40">
        <v>6694</v>
      </c>
    </row>
    <row r="80" spans="1:5" ht="15.75" thickBot="1">
      <c r="A80" s="13">
        <v>4831</v>
      </c>
      <c r="B80" s="37" t="s">
        <v>95</v>
      </c>
      <c r="C80" s="54">
        <v>5490</v>
      </c>
      <c r="D80" s="55">
        <v>5490</v>
      </c>
      <c r="E80" s="40">
        <v>784</v>
      </c>
    </row>
    <row r="81" spans="1:7" ht="15.75" thickBot="1">
      <c r="A81" s="13"/>
      <c r="B81" s="37" t="s">
        <v>96</v>
      </c>
      <c r="C81" s="54">
        <v>15717</v>
      </c>
      <c r="D81" s="55">
        <v>15717</v>
      </c>
      <c r="E81" s="40">
        <f>10249+436.92+504</f>
        <v>11189.92</v>
      </c>
    </row>
    <row r="82" spans="1:7" ht="15.75" thickBot="1">
      <c r="A82" s="13"/>
      <c r="B82" s="37" t="s">
        <v>97</v>
      </c>
      <c r="C82" s="54">
        <v>1530</v>
      </c>
      <c r="D82" s="55">
        <v>1530</v>
      </c>
      <c r="E82" s="40">
        <v>6933.34</v>
      </c>
      <c r="G82" s="1"/>
    </row>
    <row r="83" spans="1:7" ht="15.75" thickBot="1">
      <c r="A83" s="65"/>
      <c r="B83" s="66" t="s">
        <v>98</v>
      </c>
      <c r="C83" s="67">
        <v>3688444</v>
      </c>
      <c r="D83" s="67">
        <v>3768931</v>
      </c>
      <c r="E83" s="48">
        <f>SUM(E15:E82)</f>
        <v>3626704.29</v>
      </c>
    </row>
    <row r="84" spans="1:7">
      <c r="A84" s="68"/>
      <c r="B84" s="33" t="s">
        <v>99</v>
      </c>
      <c r="C84" s="69">
        <f>C12-C83</f>
        <v>185101</v>
      </c>
      <c r="D84" s="70">
        <f>D12-D83</f>
        <v>104614</v>
      </c>
      <c r="E84" s="71">
        <f>E12-E83</f>
        <v>429506.70999999996</v>
      </c>
    </row>
    <row r="86" spans="1:7">
      <c r="E86" s="14"/>
    </row>
  </sheetData>
  <mergeCells count="3">
    <mergeCell ref="A1:B1"/>
    <mergeCell ref="A13:B13"/>
    <mergeCell ref="A34:A3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G21" sqref="G21"/>
    </sheetView>
  </sheetViews>
  <sheetFormatPr defaultRowHeight="15"/>
  <cols>
    <col min="4" max="4" width="48.7109375" customWidth="1"/>
    <col min="5" max="6" width="10" bestFit="1" customWidth="1"/>
    <col min="8" max="8" width="9.140625" bestFit="1" customWidth="1"/>
  </cols>
  <sheetData>
    <row r="1" spans="1:8">
      <c r="A1" s="19" t="s">
        <v>100</v>
      </c>
      <c r="B1" s="19" t="s">
        <v>101</v>
      </c>
      <c r="C1" s="19" t="s">
        <v>102</v>
      </c>
      <c r="D1" s="19" t="s">
        <v>103</v>
      </c>
      <c r="E1" s="19" t="s">
        <v>104</v>
      </c>
    </row>
    <row r="2" spans="1:8">
      <c r="A2" s="19" t="s">
        <v>105</v>
      </c>
      <c r="B2" s="19" t="s">
        <v>106</v>
      </c>
      <c r="C2" s="19" t="s">
        <v>107</v>
      </c>
      <c r="D2" s="19" t="s">
        <v>108</v>
      </c>
      <c r="E2" s="20">
        <f>1899452+109938.4</f>
        <v>2009390.4</v>
      </c>
    </row>
    <row r="3" spans="1:8">
      <c r="A3" s="19" t="s">
        <v>105</v>
      </c>
      <c r="B3" s="19" t="s">
        <v>106</v>
      </c>
      <c r="C3" s="19" t="s">
        <v>109</v>
      </c>
      <c r="D3" s="19" t="s">
        <v>110</v>
      </c>
      <c r="E3" s="20">
        <f>1343314.95+65692.02</f>
        <v>1409006.97</v>
      </c>
    </row>
    <row r="4" spans="1:8">
      <c r="A4" s="19" t="s">
        <v>105</v>
      </c>
      <c r="B4" s="19" t="s">
        <v>106</v>
      </c>
      <c r="C4" s="19" t="s">
        <v>111</v>
      </c>
      <c r="D4" s="19" t="s">
        <v>112</v>
      </c>
      <c r="E4" s="20">
        <f>1404.3</f>
        <v>1404.3</v>
      </c>
    </row>
    <row r="5" spans="1:8">
      <c r="A5" s="19" t="s">
        <v>113</v>
      </c>
      <c r="B5" s="19" t="s">
        <v>106</v>
      </c>
      <c r="C5" s="19" t="s">
        <v>114</v>
      </c>
      <c r="D5" s="19" t="s">
        <v>115</v>
      </c>
      <c r="E5" s="20">
        <f>5956.96+3</f>
        <v>5959.96</v>
      </c>
    </row>
    <row r="6" spans="1:8">
      <c r="A6" s="19" t="s">
        <v>113</v>
      </c>
      <c r="B6" s="19" t="s">
        <v>106</v>
      </c>
      <c r="C6" s="19" t="s">
        <v>116</v>
      </c>
      <c r="D6" s="19" t="s">
        <v>117</v>
      </c>
      <c r="E6" s="20">
        <v>576344.71</v>
      </c>
    </row>
    <row r="7" spans="1:8">
      <c r="A7" s="19" t="s">
        <v>118</v>
      </c>
      <c r="B7" s="19" t="s">
        <v>106</v>
      </c>
      <c r="C7" s="19" t="s">
        <v>119</v>
      </c>
      <c r="D7" s="19" t="s">
        <v>120</v>
      </c>
      <c r="E7" s="20">
        <f>3905+200</f>
        <v>4105</v>
      </c>
      <c r="F7" s="14"/>
    </row>
    <row r="8" spans="1:8">
      <c r="A8" s="19" t="s">
        <v>121</v>
      </c>
      <c r="B8" s="19" t="s">
        <v>106</v>
      </c>
      <c r="C8" s="19" t="s">
        <v>122</v>
      </c>
      <c r="D8" s="19" t="s">
        <v>123</v>
      </c>
      <c r="E8" s="20">
        <v>50000</v>
      </c>
    </row>
    <row r="10" spans="1:8">
      <c r="D10" s="22" t="s">
        <v>17</v>
      </c>
      <c r="E10" s="23">
        <f>E2+E3+E4+E5+E6+E7+E8</f>
        <v>4056211.34</v>
      </c>
    </row>
    <row r="12" spans="1:8">
      <c r="A12" s="19" t="s">
        <v>100</v>
      </c>
      <c r="B12" s="19" t="s">
        <v>101</v>
      </c>
      <c r="C12" s="19" t="s">
        <v>102</v>
      </c>
      <c r="D12" s="19" t="s">
        <v>103</v>
      </c>
      <c r="E12" s="19" t="s">
        <v>126</v>
      </c>
    </row>
    <row r="13" spans="1:8">
      <c r="A13" s="25">
        <v>400</v>
      </c>
      <c r="B13" s="25">
        <v>4</v>
      </c>
      <c r="C13" s="25">
        <v>4000</v>
      </c>
      <c r="D13" s="19" t="s">
        <v>291</v>
      </c>
      <c r="E13" s="27">
        <f>519250.32-21722.28</f>
        <v>497528.04000000004</v>
      </c>
      <c r="G13" s="14"/>
    </row>
    <row r="14" spans="1:8">
      <c r="A14" s="19" t="s">
        <v>127</v>
      </c>
      <c r="B14" s="19" t="s">
        <v>128</v>
      </c>
      <c r="C14" s="19" t="s">
        <v>129</v>
      </c>
      <c r="D14" s="19" t="s">
        <v>130</v>
      </c>
      <c r="E14" s="24">
        <f>6761.82+H14</f>
        <v>6761.82</v>
      </c>
      <c r="G14" s="19"/>
      <c r="H14" s="24"/>
    </row>
    <row r="15" spans="1:8">
      <c r="A15" s="19" t="s">
        <v>127</v>
      </c>
      <c r="B15" s="19" t="s">
        <v>128</v>
      </c>
      <c r="C15" s="19" t="s">
        <v>131</v>
      </c>
      <c r="D15" s="19" t="s">
        <v>132</v>
      </c>
      <c r="E15" s="24">
        <f>16622.12+H15</f>
        <v>16622.12</v>
      </c>
      <c r="F15" s="21"/>
      <c r="G15" s="19"/>
      <c r="H15" s="24"/>
    </row>
    <row r="16" spans="1:8">
      <c r="A16" s="19" t="s">
        <v>127</v>
      </c>
      <c r="B16" s="19" t="s">
        <v>128</v>
      </c>
      <c r="C16" s="19" t="s">
        <v>133</v>
      </c>
      <c r="D16" s="19" t="s">
        <v>134</v>
      </c>
      <c r="E16" s="24">
        <v>48374.5</v>
      </c>
      <c r="F16" s="21"/>
      <c r="G16" s="19"/>
      <c r="H16" s="24"/>
    </row>
    <row r="17" spans="1:8">
      <c r="A17" s="19" t="s">
        <v>127</v>
      </c>
      <c r="B17" s="19" t="s">
        <v>128</v>
      </c>
      <c r="C17" s="19" t="s">
        <v>135</v>
      </c>
      <c r="D17" s="19" t="s">
        <v>136</v>
      </c>
      <c r="E17" s="24">
        <v>287.97000000000003</v>
      </c>
      <c r="G17" s="19"/>
      <c r="H17" s="24"/>
    </row>
    <row r="18" spans="1:8">
      <c r="A18" s="19" t="s">
        <v>137</v>
      </c>
      <c r="B18" s="19" t="s">
        <v>128</v>
      </c>
      <c r="C18" s="19" t="s">
        <v>138</v>
      </c>
      <c r="D18" s="19" t="s">
        <v>139</v>
      </c>
      <c r="E18" s="24">
        <f>5377.74+H16</f>
        <v>5377.74</v>
      </c>
      <c r="F18" s="21"/>
      <c r="G18" s="19"/>
      <c r="H18" s="24"/>
    </row>
    <row r="19" spans="1:8">
      <c r="A19" s="19" t="s">
        <v>137</v>
      </c>
      <c r="B19" s="19" t="s">
        <v>128</v>
      </c>
      <c r="C19" s="19" t="s">
        <v>140</v>
      </c>
      <c r="D19" s="19" t="s">
        <v>141</v>
      </c>
      <c r="E19" s="24">
        <f>19238.24+H17</f>
        <v>19238.240000000002</v>
      </c>
      <c r="G19" s="19"/>
      <c r="H19" s="24"/>
    </row>
    <row r="20" spans="1:8">
      <c r="A20" s="19" t="s">
        <v>137</v>
      </c>
      <c r="B20" s="19" t="s">
        <v>128</v>
      </c>
      <c r="C20" s="19" t="s">
        <v>142</v>
      </c>
      <c r="D20" s="19" t="s">
        <v>143</v>
      </c>
      <c r="E20" s="24">
        <f>43818.76+H18</f>
        <v>43818.76</v>
      </c>
      <c r="F20" s="14"/>
      <c r="G20" s="19"/>
      <c r="H20" s="24"/>
    </row>
    <row r="21" spans="1:8">
      <c r="A21" s="19" t="s">
        <v>137</v>
      </c>
      <c r="B21" s="19" t="s">
        <v>128</v>
      </c>
      <c r="C21" s="19" t="s">
        <v>144</v>
      </c>
      <c r="D21" s="19" t="s">
        <v>145</v>
      </c>
      <c r="E21" s="24">
        <v>201.58</v>
      </c>
      <c r="G21" s="19"/>
      <c r="H21" s="24"/>
    </row>
    <row r="22" spans="1:8">
      <c r="A22" s="19" t="s">
        <v>137</v>
      </c>
      <c r="B22" s="19" t="s">
        <v>128</v>
      </c>
      <c r="C22" s="19" t="s">
        <v>146</v>
      </c>
      <c r="D22" s="19" t="s">
        <v>147</v>
      </c>
      <c r="E22" s="24">
        <f>4536.2+H19</f>
        <v>4536.2</v>
      </c>
      <c r="F22" s="21"/>
      <c r="G22" s="19"/>
      <c r="H22" s="24"/>
    </row>
    <row r="23" spans="1:8">
      <c r="A23" s="19" t="s">
        <v>137</v>
      </c>
      <c r="B23" s="19" t="s">
        <v>128</v>
      </c>
      <c r="C23" s="19" t="s">
        <v>148</v>
      </c>
      <c r="D23" s="19" t="s">
        <v>149</v>
      </c>
      <c r="E23" s="24">
        <f>1482.56+H20</f>
        <v>1482.56</v>
      </c>
      <c r="G23" s="19"/>
      <c r="H23" s="24"/>
    </row>
    <row r="24" spans="1:8">
      <c r="A24" s="19" t="s">
        <v>150</v>
      </c>
      <c r="B24" s="19" t="s">
        <v>128</v>
      </c>
      <c r="C24" s="19" t="s">
        <v>151</v>
      </c>
      <c r="D24" s="19" t="s">
        <v>152</v>
      </c>
      <c r="E24" s="24">
        <f>35508.4+H21</f>
        <v>35508.400000000001</v>
      </c>
      <c r="G24" s="19"/>
      <c r="H24" s="24"/>
    </row>
    <row r="25" spans="1:8">
      <c r="A25" s="19" t="s">
        <v>153</v>
      </c>
      <c r="B25" s="19" t="s">
        <v>128</v>
      </c>
      <c r="C25" s="19" t="s">
        <v>154</v>
      </c>
      <c r="D25" s="19" t="s">
        <v>155</v>
      </c>
      <c r="E25" s="24">
        <f>21673.71+H22</f>
        <v>21673.71</v>
      </c>
      <c r="G25" s="19"/>
      <c r="H25" s="24"/>
    </row>
    <row r="26" spans="1:8">
      <c r="A26" s="19" t="s">
        <v>156</v>
      </c>
      <c r="B26" s="19" t="s">
        <v>128</v>
      </c>
      <c r="C26" s="19" t="s">
        <v>157</v>
      </c>
      <c r="D26" s="19" t="s">
        <v>158</v>
      </c>
      <c r="E26" s="24">
        <f>518488.72+H23</f>
        <v>518488.72</v>
      </c>
      <c r="G26" s="19"/>
      <c r="H26" s="24"/>
    </row>
    <row r="27" spans="1:8">
      <c r="A27" s="19" t="s">
        <v>156</v>
      </c>
      <c r="B27" s="19" t="s">
        <v>128</v>
      </c>
      <c r="C27" s="19" t="s">
        <v>159</v>
      </c>
      <c r="D27" s="19" t="s">
        <v>160</v>
      </c>
      <c r="E27" s="24">
        <f>19372.58+H24</f>
        <v>19372.580000000002</v>
      </c>
      <c r="G27" s="19"/>
      <c r="H27" s="24"/>
    </row>
    <row r="28" spans="1:8">
      <c r="A28" s="19" t="s">
        <v>156</v>
      </c>
      <c r="B28" s="19" t="s">
        <v>128</v>
      </c>
      <c r="C28" s="19" t="s">
        <v>161</v>
      </c>
      <c r="D28" s="19" t="s">
        <v>162</v>
      </c>
      <c r="E28" s="24">
        <v>1275.19</v>
      </c>
      <c r="G28" s="19"/>
      <c r="H28" s="24"/>
    </row>
    <row r="29" spans="1:8">
      <c r="A29" s="19" t="s">
        <v>156</v>
      </c>
      <c r="B29" s="19" t="s">
        <v>128</v>
      </c>
      <c r="C29" s="19" t="s">
        <v>163</v>
      </c>
      <c r="D29" s="19" t="s">
        <v>164</v>
      </c>
      <c r="E29" s="24">
        <v>302.39</v>
      </c>
      <c r="G29" s="19"/>
      <c r="H29" s="24"/>
    </row>
    <row r="30" spans="1:8">
      <c r="A30" s="19" t="s">
        <v>165</v>
      </c>
      <c r="B30" s="19" t="s">
        <v>128</v>
      </c>
      <c r="C30" s="19" t="s">
        <v>166</v>
      </c>
      <c r="D30" s="19" t="s">
        <v>167</v>
      </c>
      <c r="E30" s="24">
        <v>1015.99</v>
      </c>
      <c r="G30" s="19"/>
      <c r="H30" s="24"/>
    </row>
    <row r="31" spans="1:8">
      <c r="A31" s="19" t="s">
        <v>168</v>
      </c>
      <c r="B31" s="19" t="s">
        <v>128</v>
      </c>
      <c r="C31" s="19" t="s">
        <v>169</v>
      </c>
      <c r="D31" s="19" t="s">
        <v>170</v>
      </c>
      <c r="E31" s="24">
        <f>10845.18+H25</f>
        <v>10845.18</v>
      </c>
      <c r="G31" s="19"/>
      <c r="H31" s="24"/>
    </row>
    <row r="32" spans="1:8">
      <c r="A32" s="19" t="s">
        <v>168</v>
      </c>
      <c r="B32" s="19" t="s">
        <v>128</v>
      </c>
      <c r="C32" s="19" t="s">
        <v>171</v>
      </c>
      <c r="D32" s="19" t="s">
        <v>172</v>
      </c>
      <c r="E32" s="24">
        <f>6274.21+H26</f>
        <v>6274.21</v>
      </c>
      <c r="G32" s="19"/>
      <c r="H32" s="24"/>
    </row>
    <row r="33" spans="1:8">
      <c r="A33" s="19" t="s">
        <v>168</v>
      </c>
      <c r="B33" s="19" t="s">
        <v>128</v>
      </c>
      <c r="C33" s="19" t="s">
        <v>173</v>
      </c>
      <c r="D33" s="19" t="s">
        <v>174</v>
      </c>
      <c r="E33" s="24">
        <f>599.2+H27</f>
        <v>599.20000000000005</v>
      </c>
      <c r="G33" s="19"/>
      <c r="H33" s="24"/>
    </row>
    <row r="34" spans="1:8">
      <c r="A34" s="19" t="s">
        <v>168</v>
      </c>
      <c r="B34" s="19" t="s">
        <v>128</v>
      </c>
      <c r="C34" s="19" t="s">
        <v>175</v>
      </c>
      <c r="D34" s="19" t="s">
        <v>176</v>
      </c>
      <c r="E34" s="24">
        <v>418.2</v>
      </c>
      <c r="G34" s="19"/>
      <c r="H34" s="24"/>
    </row>
    <row r="35" spans="1:8">
      <c r="A35" s="19" t="s">
        <v>177</v>
      </c>
      <c r="B35" s="19" t="s">
        <v>128</v>
      </c>
      <c r="C35" s="19" t="s">
        <v>178</v>
      </c>
      <c r="D35" s="19" t="s">
        <v>179</v>
      </c>
      <c r="E35" s="24">
        <v>6473</v>
      </c>
      <c r="G35" s="19"/>
      <c r="H35" s="24"/>
    </row>
    <row r="36" spans="1:8">
      <c r="A36" s="19" t="s">
        <v>180</v>
      </c>
      <c r="B36" s="19" t="s">
        <v>128</v>
      </c>
      <c r="C36" s="19" t="s">
        <v>181</v>
      </c>
      <c r="D36" s="19" t="s">
        <v>182</v>
      </c>
      <c r="E36" s="24">
        <f>9629.43+H28</f>
        <v>9629.43</v>
      </c>
      <c r="G36" s="19"/>
      <c r="H36" s="24"/>
    </row>
    <row r="37" spans="1:8">
      <c r="A37" s="19" t="s">
        <v>180</v>
      </c>
      <c r="B37" s="19" t="s">
        <v>128</v>
      </c>
      <c r="C37" s="19" t="s">
        <v>183</v>
      </c>
      <c r="D37" s="19" t="s">
        <v>184</v>
      </c>
      <c r="E37" s="24">
        <v>50000</v>
      </c>
      <c r="G37" s="19"/>
      <c r="H37" s="24"/>
    </row>
    <row r="38" spans="1:8">
      <c r="A38" s="19" t="s">
        <v>180</v>
      </c>
      <c r="B38" s="19" t="s">
        <v>128</v>
      </c>
      <c r="C38" s="19" t="s">
        <v>185</v>
      </c>
      <c r="D38" s="19" t="s">
        <v>186</v>
      </c>
      <c r="E38" s="24">
        <f>8590.4+H29</f>
        <v>8590.4</v>
      </c>
      <c r="G38" s="19"/>
      <c r="H38" s="24"/>
    </row>
    <row r="39" spans="1:8">
      <c r="A39" s="19" t="s">
        <v>180</v>
      </c>
      <c r="B39" s="19" t="s">
        <v>128</v>
      </c>
      <c r="C39" s="19" t="s">
        <v>187</v>
      </c>
      <c r="D39" s="19" t="s">
        <v>188</v>
      </c>
      <c r="E39" s="24">
        <f>4799.96+H30</f>
        <v>4799.96</v>
      </c>
      <c r="G39" s="19"/>
      <c r="H39" s="24"/>
    </row>
    <row r="40" spans="1:8">
      <c r="A40" s="19" t="s">
        <v>180</v>
      </c>
      <c r="B40" s="19" t="s">
        <v>128</v>
      </c>
      <c r="C40" s="19" t="s">
        <v>189</v>
      </c>
      <c r="D40" s="19" t="s">
        <v>190</v>
      </c>
      <c r="E40" s="24">
        <v>1351.32</v>
      </c>
      <c r="G40" s="19"/>
      <c r="H40" s="24"/>
    </row>
    <row r="41" spans="1:8">
      <c r="A41" s="19" t="s">
        <v>180</v>
      </c>
      <c r="B41" s="19" t="s">
        <v>128</v>
      </c>
      <c r="C41" s="19" t="s">
        <v>191</v>
      </c>
      <c r="D41" s="19" t="s">
        <v>192</v>
      </c>
      <c r="E41" s="24">
        <v>19861.03</v>
      </c>
      <c r="G41" s="19"/>
      <c r="H41" s="24"/>
    </row>
    <row r="42" spans="1:8">
      <c r="A42" s="19" t="s">
        <v>180</v>
      </c>
      <c r="B42" s="19" t="s">
        <v>128</v>
      </c>
      <c r="C42" s="19" t="s">
        <v>193</v>
      </c>
      <c r="D42" s="19" t="s">
        <v>63</v>
      </c>
      <c r="E42" s="24">
        <v>480</v>
      </c>
      <c r="G42" s="19"/>
      <c r="H42" s="24"/>
    </row>
    <row r="43" spans="1:8">
      <c r="A43" s="19" t="s">
        <v>194</v>
      </c>
      <c r="B43" s="19" t="s">
        <v>128</v>
      </c>
      <c r="C43" s="19" t="s">
        <v>195</v>
      </c>
      <c r="D43" s="19" t="s">
        <v>196</v>
      </c>
      <c r="E43" s="24">
        <v>1449.79</v>
      </c>
      <c r="G43" s="19"/>
      <c r="H43" s="24"/>
    </row>
    <row r="44" spans="1:8">
      <c r="A44" s="19" t="s">
        <v>197</v>
      </c>
      <c r="B44" s="19" t="s">
        <v>128</v>
      </c>
      <c r="C44" s="19" t="s">
        <v>198</v>
      </c>
      <c r="D44" s="19" t="s">
        <v>199</v>
      </c>
      <c r="E44" s="24">
        <f>1855+H31</f>
        <v>1855</v>
      </c>
      <c r="G44" s="19"/>
      <c r="H44" s="24"/>
    </row>
    <row r="45" spans="1:8">
      <c r="A45" s="19" t="s">
        <v>200</v>
      </c>
      <c r="B45" s="19" t="s">
        <v>128</v>
      </c>
      <c r="C45" s="19" t="s">
        <v>201</v>
      </c>
      <c r="D45" s="19" t="s">
        <v>202</v>
      </c>
      <c r="E45" s="24">
        <f>24333.32+H32</f>
        <v>24333.32</v>
      </c>
      <c r="G45" s="19"/>
      <c r="H45" s="24"/>
    </row>
    <row r="46" spans="1:8">
      <c r="A46" s="19" t="s">
        <v>203</v>
      </c>
      <c r="B46" s="19" t="s">
        <v>128</v>
      </c>
      <c r="C46" s="19" t="s">
        <v>204</v>
      </c>
      <c r="D46" s="19" t="s">
        <v>205</v>
      </c>
      <c r="E46" s="24">
        <f>13632.32+H33</f>
        <v>13632.32</v>
      </c>
      <c r="G46" s="19"/>
      <c r="H46" s="24"/>
    </row>
    <row r="47" spans="1:8">
      <c r="A47" s="19" t="s">
        <v>203</v>
      </c>
      <c r="B47" s="19" t="s">
        <v>128</v>
      </c>
      <c r="C47" s="19" t="s">
        <v>206</v>
      </c>
      <c r="D47" s="19" t="s">
        <v>207</v>
      </c>
      <c r="E47" s="24">
        <f>30800+H34</f>
        <v>30800</v>
      </c>
      <c r="G47" s="19"/>
      <c r="H47" s="24"/>
    </row>
    <row r="48" spans="1:8">
      <c r="A48" s="19" t="s">
        <v>203</v>
      </c>
      <c r="B48" s="19" t="s">
        <v>128</v>
      </c>
      <c r="C48" s="19" t="s">
        <v>208</v>
      </c>
      <c r="D48" s="19" t="s">
        <v>209</v>
      </c>
      <c r="E48" s="24">
        <v>30</v>
      </c>
      <c r="G48" s="19"/>
      <c r="H48" s="24"/>
    </row>
    <row r="49" spans="1:8">
      <c r="A49" s="19" t="s">
        <v>203</v>
      </c>
      <c r="B49" s="19" t="s">
        <v>128</v>
      </c>
      <c r="C49" s="19" t="s">
        <v>210</v>
      </c>
      <c r="D49" s="19" t="s">
        <v>211</v>
      </c>
      <c r="E49" s="26">
        <v>1500</v>
      </c>
      <c r="F49" s="21" t="s">
        <v>294</v>
      </c>
      <c r="G49" s="19" t="s">
        <v>295</v>
      </c>
      <c r="H49" s="24"/>
    </row>
    <row r="50" spans="1:8">
      <c r="A50" s="19" t="s">
        <v>212</v>
      </c>
      <c r="B50" s="19" t="s">
        <v>128</v>
      </c>
      <c r="C50" s="19" t="s">
        <v>213</v>
      </c>
      <c r="D50" s="19" t="s">
        <v>72</v>
      </c>
      <c r="E50" s="24">
        <f>6050.4+H35</f>
        <v>6050.4</v>
      </c>
      <c r="G50" s="19"/>
      <c r="H50" s="24"/>
    </row>
    <row r="51" spans="1:8">
      <c r="A51" s="19" t="s">
        <v>212</v>
      </c>
      <c r="B51" s="19" t="s">
        <v>128</v>
      </c>
      <c r="C51" s="19" t="s">
        <v>214</v>
      </c>
      <c r="D51" s="19" t="s">
        <v>73</v>
      </c>
      <c r="E51" s="24">
        <f>38761.3+H36</f>
        <v>38761.300000000003</v>
      </c>
    </row>
    <row r="52" spans="1:8">
      <c r="A52" s="19" t="s">
        <v>212</v>
      </c>
      <c r="B52" s="19" t="s">
        <v>128</v>
      </c>
      <c r="C52" s="19" t="s">
        <v>215</v>
      </c>
      <c r="D52" s="19" t="s">
        <v>216</v>
      </c>
      <c r="E52" s="24">
        <v>134653.6</v>
      </c>
      <c r="F52" s="21" t="s">
        <v>296</v>
      </c>
      <c r="H52" s="14"/>
    </row>
    <row r="53" spans="1:8">
      <c r="A53" s="19" t="s">
        <v>212</v>
      </c>
      <c r="B53" s="19" t="s">
        <v>128</v>
      </c>
      <c r="C53" s="19" t="s">
        <v>217</v>
      </c>
      <c r="D53" s="19" t="s">
        <v>218</v>
      </c>
      <c r="E53" s="24">
        <v>920</v>
      </c>
      <c r="H53" s="23"/>
    </row>
    <row r="54" spans="1:8">
      <c r="A54" s="19" t="s">
        <v>212</v>
      </c>
      <c r="B54" s="19" t="s">
        <v>128</v>
      </c>
      <c r="C54" s="19" t="s">
        <v>219</v>
      </c>
      <c r="D54" s="19" t="s">
        <v>220</v>
      </c>
      <c r="E54" s="24">
        <f>1860+H37</f>
        <v>1860</v>
      </c>
      <c r="H54" s="14"/>
    </row>
    <row r="55" spans="1:8">
      <c r="A55" s="19" t="s">
        <v>221</v>
      </c>
      <c r="B55" s="19" t="s">
        <v>128</v>
      </c>
      <c r="C55" s="19" t="s">
        <v>222</v>
      </c>
      <c r="D55" s="19" t="s">
        <v>223</v>
      </c>
      <c r="E55" s="24">
        <f>840705.74+H38</f>
        <v>840705.74</v>
      </c>
      <c r="F55" s="14">
        <f>E55+E56+E57+25875.36+plaća!C13</f>
        <v>1367310.7100000002</v>
      </c>
      <c r="G55" s="21" t="s">
        <v>292</v>
      </c>
    </row>
    <row r="56" spans="1:8">
      <c r="A56" s="19" t="s">
        <v>224</v>
      </c>
      <c r="B56" s="19" t="s">
        <v>128</v>
      </c>
      <c r="C56" s="19" t="s">
        <v>225</v>
      </c>
      <c r="D56" s="19" t="s">
        <v>226</v>
      </c>
      <c r="E56" s="24">
        <f>233593.79+H39</f>
        <v>233593.79</v>
      </c>
    </row>
    <row r="57" spans="1:8">
      <c r="A57" s="19" t="s">
        <v>227</v>
      </c>
      <c r="B57" s="19" t="s">
        <v>128</v>
      </c>
      <c r="C57" s="19" t="s">
        <v>228</v>
      </c>
      <c r="D57" s="19" t="s">
        <v>229</v>
      </c>
      <c r="E57" s="24">
        <f>177279.38+H40</f>
        <v>177279.38</v>
      </c>
    </row>
    <row r="58" spans="1:8">
      <c r="A58" s="19" t="s">
        <v>230</v>
      </c>
      <c r="B58" s="19" t="s">
        <v>128</v>
      </c>
      <c r="C58" s="19" t="s">
        <v>231</v>
      </c>
      <c r="D58" s="19" t="s">
        <v>232</v>
      </c>
      <c r="E58" s="24">
        <v>302383.45</v>
      </c>
    </row>
    <row r="59" spans="1:8">
      <c r="A59" s="19" t="s">
        <v>233</v>
      </c>
      <c r="B59" s="19" t="s">
        <v>128</v>
      </c>
      <c r="C59" s="19" t="s">
        <v>234</v>
      </c>
      <c r="D59" s="19" t="s">
        <v>235</v>
      </c>
      <c r="E59" s="24">
        <v>10200</v>
      </c>
    </row>
    <row r="60" spans="1:8">
      <c r="A60" s="19" t="s">
        <v>233</v>
      </c>
      <c r="B60" s="19" t="s">
        <v>128</v>
      </c>
      <c r="C60" s="19" t="s">
        <v>236</v>
      </c>
      <c r="D60" s="19" t="s">
        <v>237</v>
      </c>
      <c r="E60" s="24">
        <v>32500</v>
      </c>
      <c r="F60" s="14">
        <f>E59+E60</f>
        <v>42700</v>
      </c>
      <c r="G60">
        <v>18000</v>
      </c>
      <c r="H60" s="14">
        <f>F60+G60</f>
        <v>60700</v>
      </c>
    </row>
    <row r="61" spans="1:8">
      <c r="A61" s="19" t="s">
        <v>238</v>
      </c>
      <c r="B61" s="19" t="s">
        <v>128</v>
      </c>
      <c r="C61" s="19" t="s">
        <v>239</v>
      </c>
      <c r="D61" s="19" t="s">
        <v>240</v>
      </c>
      <c r="E61" s="24">
        <f>333.5+H41</f>
        <v>333.5</v>
      </c>
    </row>
    <row r="62" spans="1:8">
      <c r="A62" s="19" t="s">
        <v>238</v>
      </c>
      <c r="B62" s="19" t="s">
        <v>128</v>
      </c>
      <c r="C62" s="19" t="s">
        <v>241</v>
      </c>
      <c r="D62" s="19" t="s">
        <v>240</v>
      </c>
      <c r="E62" s="24">
        <f>333.5+H42</f>
        <v>333.5</v>
      </c>
      <c r="F62" s="14">
        <f>E61+E62</f>
        <v>667</v>
      </c>
    </row>
    <row r="63" spans="1:8">
      <c r="A63" s="19" t="s">
        <v>242</v>
      </c>
      <c r="B63" s="19" t="s">
        <v>128</v>
      </c>
      <c r="C63" s="19" t="s">
        <v>243</v>
      </c>
      <c r="D63" s="19" t="s">
        <v>244</v>
      </c>
      <c r="E63" s="24">
        <f>22440.14+H43</f>
        <v>22440.14</v>
      </c>
    </row>
    <row r="64" spans="1:8">
      <c r="A64" s="19" t="s">
        <v>242</v>
      </c>
      <c r="B64" s="19" t="s">
        <v>128</v>
      </c>
      <c r="C64" s="19" t="s">
        <v>245</v>
      </c>
      <c r="D64" s="19" t="s">
        <v>246</v>
      </c>
      <c r="E64" s="24">
        <v>1287.02</v>
      </c>
    </row>
    <row r="65" spans="1:7">
      <c r="A65" s="19" t="s">
        <v>247</v>
      </c>
      <c r="B65" s="19" t="s">
        <v>128</v>
      </c>
      <c r="C65" s="19" t="s">
        <v>248</v>
      </c>
      <c r="D65" s="19" t="s">
        <v>249</v>
      </c>
      <c r="E65" s="24">
        <f>13660.36+H44</f>
        <v>13660.36</v>
      </c>
      <c r="F65" s="21" t="s">
        <v>296</v>
      </c>
    </row>
    <row r="66" spans="1:7">
      <c r="A66" s="19" t="s">
        <v>247</v>
      </c>
      <c r="B66" s="19" t="s">
        <v>128</v>
      </c>
      <c r="C66" s="19" t="s">
        <v>250</v>
      </c>
      <c r="D66" s="19" t="s">
        <v>251</v>
      </c>
      <c r="E66" s="24">
        <v>184</v>
      </c>
      <c r="F66" s="21" t="s">
        <v>296</v>
      </c>
    </row>
    <row r="67" spans="1:7">
      <c r="A67" s="19" t="s">
        <v>247</v>
      </c>
      <c r="B67" s="19" t="s">
        <v>128</v>
      </c>
      <c r="C67" s="19" t="s">
        <v>252</v>
      </c>
      <c r="D67" s="19" t="s">
        <v>253</v>
      </c>
      <c r="E67" s="24">
        <v>159.99</v>
      </c>
      <c r="F67" s="21" t="s">
        <v>296</v>
      </c>
    </row>
    <row r="68" spans="1:7">
      <c r="A68" s="19" t="s">
        <v>247</v>
      </c>
      <c r="B68" s="19" t="s">
        <v>128</v>
      </c>
      <c r="C68" s="19" t="s">
        <v>254</v>
      </c>
      <c r="D68" s="19" t="s">
        <v>255</v>
      </c>
      <c r="E68" s="24">
        <v>3648.49</v>
      </c>
      <c r="F68" s="21" t="s">
        <v>296</v>
      </c>
      <c r="G68" s="14">
        <f>E65+E66+E67+E68+E81+E80</f>
        <v>17741.439999999999</v>
      </c>
    </row>
    <row r="69" spans="1:7">
      <c r="A69" s="19" t="s">
        <v>256</v>
      </c>
      <c r="B69" s="19" t="s">
        <v>128</v>
      </c>
      <c r="C69" s="19" t="s">
        <v>257</v>
      </c>
      <c r="D69" s="19" t="s">
        <v>258</v>
      </c>
      <c r="E69" s="24">
        <f>9989.43+H45</f>
        <v>9989.43</v>
      </c>
    </row>
    <row r="70" spans="1:7">
      <c r="A70" s="19" t="s">
        <v>256</v>
      </c>
      <c r="B70" s="19" t="s">
        <v>128</v>
      </c>
      <c r="C70" s="19" t="s">
        <v>259</v>
      </c>
      <c r="D70" s="19" t="s">
        <v>260</v>
      </c>
      <c r="E70" s="24">
        <v>260</v>
      </c>
      <c r="F70" s="14">
        <f>E69+E70</f>
        <v>10249.43</v>
      </c>
    </row>
    <row r="71" spans="1:7">
      <c r="A71" s="19" t="s">
        <v>261</v>
      </c>
      <c r="B71" s="19" t="s">
        <v>128</v>
      </c>
      <c r="C71" s="19" t="s">
        <v>262</v>
      </c>
      <c r="D71" s="19" t="s">
        <v>263</v>
      </c>
      <c r="E71" s="24">
        <f>4192.65+H46</f>
        <v>4192.6499999999996</v>
      </c>
      <c r="F71" s="21" t="s">
        <v>296</v>
      </c>
    </row>
    <row r="72" spans="1:7">
      <c r="A72" s="19" t="s">
        <v>261</v>
      </c>
      <c r="B72" s="19" t="s">
        <v>128</v>
      </c>
      <c r="C72" s="19" t="s">
        <v>264</v>
      </c>
      <c r="D72" s="19" t="s">
        <v>265</v>
      </c>
      <c r="E72" s="24">
        <f>1200+H47</f>
        <v>1200</v>
      </c>
    </row>
    <row r="73" spans="1:7">
      <c r="A73" s="19" t="s">
        <v>261</v>
      </c>
      <c r="B73" s="19" t="s">
        <v>128</v>
      </c>
      <c r="C73" s="19" t="s">
        <v>266</v>
      </c>
      <c r="D73" s="19" t="s">
        <v>267</v>
      </c>
      <c r="E73" s="24">
        <f>2984.89+H48</f>
        <v>2984.89</v>
      </c>
      <c r="F73" s="21" t="s">
        <v>296</v>
      </c>
    </row>
    <row r="74" spans="1:7">
      <c r="A74" s="19" t="s">
        <v>268</v>
      </c>
      <c r="B74" s="19" t="s">
        <v>128</v>
      </c>
      <c r="C74" s="19" t="s">
        <v>269</v>
      </c>
      <c r="D74" s="19" t="s">
        <v>270</v>
      </c>
      <c r="E74" s="24">
        <v>1500</v>
      </c>
      <c r="F74" s="21" t="s">
        <v>296</v>
      </c>
    </row>
    <row r="75" spans="1:7">
      <c r="A75" s="19" t="s">
        <v>268</v>
      </c>
      <c r="B75" s="19" t="s">
        <v>128</v>
      </c>
      <c r="C75" s="19" t="s">
        <v>271</v>
      </c>
      <c r="D75" s="19" t="s">
        <v>272</v>
      </c>
      <c r="E75" s="24">
        <f>12077.14+H49</f>
        <v>12077.14</v>
      </c>
      <c r="F75" s="14">
        <f>E75+E76</f>
        <v>17172.14</v>
      </c>
    </row>
    <row r="76" spans="1:7">
      <c r="A76" s="19" t="s">
        <v>268</v>
      </c>
      <c r="B76" s="19" t="s">
        <v>128</v>
      </c>
      <c r="C76" s="19" t="s">
        <v>273</v>
      </c>
      <c r="D76" s="19" t="s">
        <v>274</v>
      </c>
      <c r="E76" s="24">
        <v>5095</v>
      </c>
    </row>
    <row r="77" spans="1:7">
      <c r="A77" s="19" t="s">
        <v>268</v>
      </c>
      <c r="B77" s="19" t="s">
        <v>128</v>
      </c>
      <c r="C77" s="19" t="s">
        <v>275</v>
      </c>
      <c r="D77" s="19" t="s">
        <v>276</v>
      </c>
      <c r="E77" s="24">
        <f>4988.33+H50</f>
        <v>4988.33</v>
      </c>
    </row>
    <row r="78" spans="1:7">
      <c r="A78" s="19" t="s">
        <v>277</v>
      </c>
      <c r="B78" s="19" t="s">
        <v>128</v>
      </c>
      <c r="C78" s="19" t="s">
        <v>278</v>
      </c>
      <c r="D78" s="19" t="s">
        <v>279</v>
      </c>
      <c r="E78" s="24">
        <v>9077.57</v>
      </c>
    </row>
    <row r="79" spans="1:7">
      <c r="A79" s="19" t="s">
        <v>280</v>
      </c>
      <c r="B79" s="19" t="s">
        <v>128</v>
      </c>
      <c r="C79" s="19" t="s">
        <v>281</v>
      </c>
      <c r="D79" s="19" t="s">
        <v>282</v>
      </c>
      <c r="E79" s="24">
        <v>6693.67</v>
      </c>
    </row>
    <row r="80" spans="1:7">
      <c r="A80" s="19" t="s">
        <v>283</v>
      </c>
      <c r="B80" s="19" t="s">
        <v>128</v>
      </c>
      <c r="C80" s="19" t="s">
        <v>284</v>
      </c>
      <c r="D80" s="19" t="s">
        <v>285</v>
      </c>
      <c r="E80" s="24">
        <v>1.51</v>
      </c>
      <c r="F80" s="21" t="s">
        <v>296</v>
      </c>
    </row>
    <row r="81" spans="1:6">
      <c r="A81" s="19" t="s">
        <v>283</v>
      </c>
      <c r="B81" s="19" t="s">
        <v>128</v>
      </c>
      <c r="C81" s="19" t="s">
        <v>286</v>
      </c>
      <c r="D81" s="19" t="s">
        <v>287</v>
      </c>
      <c r="E81" s="24">
        <v>87.09</v>
      </c>
      <c r="F81" s="21" t="s">
        <v>296</v>
      </c>
    </row>
    <row r="82" spans="1:6">
      <c r="A82" s="19" t="s">
        <v>288</v>
      </c>
      <c r="B82" s="19" t="s">
        <v>128</v>
      </c>
      <c r="C82" s="19" t="s">
        <v>289</v>
      </c>
      <c r="D82" s="19" t="s">
        <v>290</v>
      </c>
      <c r="E82" s="24">
        <v>784.48</v>
      </c>
    </row>
    <row r="84" spans="1:6">
      <c r="E84" s="23">
        <f>SUM(E13:E83)</f>
        <v>3314675.29</v>
      </c>
      <c r="F84" s="1">
        <f>PLAN!E83-'bruto bilanca'!E84</f>
        <v>312029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plaća</vt:lpstr>
      <vt:lpstr>PLAN S PROJEKCIJAMA</vt:lpstr>
      <vt:lpstr>PLAN</vt:lpstr>
      <vt:lpstr>bruto bilanca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Rašić</dc:creator>
  <cp:lastModifiedBy>Korisnik</cp:lastModifiedBy>
  <cp:lastPrinted>2020-03-12T15:23:02Z</cp:lastPrinted>
  <dcterms:created xsi:type="dcterms:W3CDTF">2019-12-17T10:28:09Z</dcterms:created>
  <dcterms:modified xsi:type="dcterms:W3CDTF">2021-03-21T12:10:35Z</dcterms:modified>
</cp:coreProperties>
</file>